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640" windowHeight="10656" activeTab="10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 9 День " sheetId="9" r:id="rId9"/>
    <sheet name="10 День" sheetId="10" r:id="rId10"/>
    <sheet name="стат" sheetId="11" r:id="rId11"/>
    <sheet name="Лист1" sheetId="12" state="hidden" r:id="rId12"/>
  </sheets>
  <calcPr calcId="152511" refMode="R1C1"/>
</workbook>
</file>

<file path=xl/calcChain.xml><?xml version="1.0" encoding="utf-8"?>
<calcChain xmlns="http://schemas.openxmlformats.org/spreadsheetml/2006/main">
  <c r="E10" i="10" l="1"/>
  <c r="F10" i="10"/>
  <c r="G10" i="10"/>
  <c r="H10" i="10"/>
  <c r="I10" i="10"/>
  <c r="J10" i="10"/>
  <c r="K10" i="10"/>
  <c r="L10" i="10"/>
  <c r="M10" i="10"/>
  <c r="N10" i="10"/>
  <c r="O10" i="10"/>
  <c r="O9" i="10"/>
  <c r="N9" i="10"/>
  <c r="M9" i="10"/>
  <c r="L9" i="10"/>
  <c r="K9" i="10"/>
  <c r="J9" i="10"/>
  <c r="I9" i="10"/>
  <c r="H9" i="10"/>
  <c r="G17" i="9"/>
  <c r="O21" i="10"/>
  <c r="N21" i="10"/>
  <c r="M21" i="10"/>
  <c r="L21" i="10"/>
  <c r="K21" i="10"/>
  <c r="J21" i="10"/>
  <c r="I21" i="10"/>
  <c r="H21" i="10"/>
  <c r="G21" i="10"/>
  <c r="F21" i="10"/>
  <c r="E21" i="10"/>
  <c r="D21" i="10"/>
  <c r="O20" i="9"/>
  <c r="N20" i="9"/>
  <c r="M20" i="9"/>
  <c r="L20" i="9"/>
  <c r="K20" i="9"/>
  <c r="J20" i="9"/>
  <c r="I20" i="9"/>
  <c r="H20" i="9"/>
  <c r="G20" i="9"/>
  <c r="F20" i="9"/>
  <c r="E20" i="9"/>
  <c r="D20" i="9"/>
  <c r="K20" i="8"/>
  <c r="I20" i="8"/>
  <c r="K20" i="7"/>
  <c r="I20" i="7"/>
  <c r="E9" i="7"/>
  <c r="F9" i="7"/>
  <c r="G9" i="7"/>
  <c r="H9" i="7"/>
  <c r="I9" i="7"/>
  <c r="J9" i="7"/>
  <c r="K9" i="7"/>
  <c r="L9" i="7"/>
  <c r="M9" i="7"/>
  <c r="N9" i="7"/>
  <c r="O9" i="7"/>
  <c r="K21" i="6"/>
  <c r="I21" i="6"/>
  <c r="E10" i="6"/>
  <c r="F10" i="6"/>
  <c r="G10" i="6"/>
  <c r="H10" i="6"/>
  <c r="I10" i="6"/>
  <c r="J10" i="6"/>
  <c r="K10" i="6"/>
  <c r="L10" i="6"/>
  <c r="M10" i="6"/>
  <c r="N10" i="6"/>
  <c r="O10" i="6"/>
  <c r="K20" i="5"/>
  <c r="I20" i="5"/>
  <c r="K20" i="4"/>
  <c r="I20" i="4"/>
  <c r="E9" i="4"/>
  <c r="F9" i="4"/>
  <c r="G9" i="4"/>
  <c r="H9" i="4"/>
  <c r="I9" i="4"/>
  <c r="J9" i="4"/>
  <c r="K9" i="4"/>
  <c r="L9" i="4"/>
  <c r="M9" i="4"/>
  <c r="N9" i="4"/>
  <c r="O9" i="4"/>
  <c r="K20" i="3"/>
  <c r="I20" i="3"/>
  <c r="K20" i="2"/>
  <c r="I20" i="2"/>
  <c r="E9" i="2"/>
  <c r="F9" i="2"/>
  <c r="G9" i="2"/>
  <c r="H9" i="2"/>
  <c r="I9" i="2"/>
  <c r="J9" i="2"/>
  <c r="K9" i="2"/>
  <c r="L9" i="2"/>
  <c r="M9" i="2"/>
  <c r="N9" i="2"/>
  <c r="O9" i="2"/>
  <c r="D9" i="2"/>
  <c r="K20" i="1"/>
  <c r="I20" i="1"/>
  <c r="D5" i="10"/>
  <c r="F5" i="10"/>
  <c r="G5" i="10"/>
  <c r="G16" i="10"/>
  <c r="D17" i="10"/>
  <c r="E17" i="10"/>
  <c r="F17" i="10"/>
  <c r="G17" i="10"/>
  <c r="D19" i="10"/>
  <c r="E19" i="10"/>
  <c r="F19" i="10"/>
  <c r="G19" i="10"/>
  <c r="E14" i="9"/>
  <c r="D14" i="9"/>
  <c r="D18" i="9"/>
  <c r="E18" i="9"/>
  <c r="F18" i="9"/>
  <c r="G18" i="9"/>
  <c r="D6" i="8"/>
  <c r="E6" i="8"/>
  <c r="F6" i="8"/>
  <c r="G6" i="8"/>
  <c r="D14" i="8"/>
  <c r="E14" i="8"/>
  <c r="F14" i="8"/>
  <c r="G14" i="8"/>
  <c r="D17" i="8"/>
  <c r="E17" i="8"/>
  <c r="G17" i="8"/>
  <c r="G15" i="7"/>
  <c r="E16" i="7"/>
  <c r="G6" i="6"/>
  <c r="D14" i="5"/>
  <c r="E14" i="5"/>
  <c r="F14" i="5"/>
  <c r="G14" i="5"/>
  <c r="F15" i="5"/>
  <c r="G16" i="5"/>
  <c r="D18" i="4"/>
  <c r="E18" i="4"/>
  <c r="F18" i="4"/>
  <c r="G18" i="4"/>
  <c r="D17" i="4"/>
  <c r="E17" i="4"/>
  <c r="F17" i="4"/>
  <c r="G17" i="4"/>
  <c r="D15" i="4"/>
  <c r="E15" i="4"/>
  <c r="F15" i="4"/>
  <c r="G15" i="4"/>
  <c r="D7" i="4"/>
  <c r="E7" i="4"/>
  <c r="F7" i="4"/>
  <c r="G7" i="4"/>
  <c r="D5" i="4"/>
  <c r="E5" i="4"/>
  <c r="F5" i="4"/>
  <c r="G5" i="4"/>
  <c r="H5" i="4"/>
  <c r="O6" i="3"/>
  <c r="N6" i="3"/>
  <c r="M6" i="3"/>
  <c r="L6" i="3"/>
  <c r="K6" i="3"/>
  <c r="J6" i="3"/>
  <c r="I6" i="3"/>
  <c r="H6" i="3"/>
  <c r="G18" i="3"/>
  <c r="H18" i="3"/>
  <c r="D17" i="3"/>
  <c r="E17" i="3"/>
  <c r="F17" i="3"/>
  <c r="G17" i="3"/>
  <c r="H17" i="3"/>
  <c r="G15" i="3"/>
  <c r="E15" i="3"/>
  <c r="D15" i="3"/>
  <c r="D5" i="3"/>
  <c r="E5" i="3"/>
  <c r="F5" i="3"/>
  <c r="G5" i="3"/>
  <c r="H5" i="3"/>
  <c r="D17" i="2"/>
  <c r="D19" i="2"/>
  <c r="E17" i="2"/>
  <c r="F17" i="2"/>
  <c r="G17" i="2"/>
  <c r="D14" i="2"/>
  <c r="E14" i="2"/>
  <c r="F14" i="2"/>
  <c r="G14" i="2"/>
  <c r="H14" i="2"/>
  <c r="D5" i="2"/>
  <c r="E5" i="2"/>
  <c r="F5" i="2"/>
  <c r="G5" i="2"/>
  <c r="H5" i="2"/>
  <c r="O5" i="2"/>
  <c r="N5" i="2"/>
  <c r="M5" i="2"/>
  <c r="L5" i="2"/>
  <c r="K5" i="2"/>
  <c r="J5" i="2"/>
  <c r="I5" i="2"/>
  <c r="O15" i="2"/>
  <c r="N15" i="2"/>
  <c r="M15" i="2"/>
  <c r="L15" i="2"/>
  <c r="K15" i="2"/>
  <c r="J15" i="2"/>
  <c r="I15" i="2"/>
  <c r="H15" i="2"/>
  <c r="O14" i="2"/>
  <c r="N14" i="2"/>
  <c r="M14" i="2"/>
  <c r="L14" i="2"/>
  <c r="K14" i="2"/>
  <c r="J14" i="2"/>
  <c r="I14" i="2"/>
  <c r="F18" i="1" l="1"/>
  <c r="G18" i="1"/>
  <c r="G6" i="3" l="1"/>
  <c r="F6" i="3"/>
  <c r="E6" i="3"/>
  <c r="D6" i="3"/>
  <c r="F16" i="10"/>
  <c r="E16" i="10"/>
  <c r="D16" i="10"/>
  <c r="F17" i="8"/>
  <c r="G9" i="10"/>
  <c r="F9" i="10"/>
  <c r="E9" i="10"/>
  <c r="D9" i="10"/>
  <c r="F17" i="9"/>
  <c r="E17" i="9"/>
  <c r="D17" i="9"/>
  <c r="F5" i="8"/>
  <c r="E5" i="8"/>
  <c r="D5" i="8"/>
  <c r="G5" i="8"/>
  <c r="G15" i="10"/>
  <c r="F15" i="10"/>
  <c r="E15" i="10"/>
  <c r="D15" i="10"/>
  <c r="G7" i="10"/>
  <c r="G17" i="7"/>
  <c r="F17" i="7"/>
  <c r="E17" i="7"/>
  <c r="D17" i="7"/>
  <c r="G6" i="7"/>
  <c r="F6" i="7"/>
  <c r="E6" i="7"/>
  <c r="D6" i="7"/>
  <c r="G19" i="6"/>
  <c r="G16" i="4"/>
  <c r="F16" i="4"/>
  <c r="E16" i="4"/>
  <c r="D16" i="4"/>
  <c r="E15" i="7"/>
  <c r="D15" i="7"/>
  <c r="D5" i="7"/>
  <c r="F5" i="7"/>
  <c r="G5" i="7"/>
  <c r="G15" i="5"/>
  <c r="G7" i="3"/>
  <c r="O5" i="4"/>
  <c r="N5" i="4"/>
  <c r="M5" i="4"/>
  <c r="L5" i="4"/>
  <c r="K5" i="4"/>
  <c r="J5" i="4"/>
  <c r="I5" i="4"/>
  <c r="O5" i="3"/>
  <c r="N5" i="3"/>
  <c r="M5" i="3"/>
  <c r="L5" i="3"/>
  <c r="K5" i="3"/>
  <c r="J5" i="3"/>
  <c r="I5" i="3"/>
  <c r="E18" i="1"/>
  <c r="G15" i="1"/>
  <c r="G6" i="10"/>
  <c r="F6" i="10"/>
  <c r="E6" i="10"/>
  <c r="D6" i="10"/>
  <c r="G14" i="9"/>
  <c r="F14" i="9"/>
  <c r="G15" i="6"/>
  <c r="F15" i="6"/>
  <c r="E15" i="6"/>
  <c r="D15" i="6"/>
  <c r="F6" i="6"/>
  <c r="E6" i="6"/>
  <c r="D6" i="6"/>
  <c r="E7" i="5"/>
  <c r="F15" i="3"/>
  <c r="D7" i="3"/>
  <c r="O8" i="6"/>
  <c r="N8" i="6"/>
  <c r="M8" i="6"/>
  <c r="L8" i="6"/>
  <c r="K8" i="6"/>
  <c r="J8" i="6"/>
  <c r="I8" i="6"/>
  <c r="H8" i="6"/>
  <c r="G8" i="6"/>
  <c r="F8" i="6"/>
  <c r="E8" i="6"/>
  <c r="D8" i="6"/>
  <c r="D9" i="6"/>
  <c r="E9" i="6"/>
  <c r="F9" i="6"/>
  <c r="G9" i="6"/>
  <c r="H9" i="6"/>
  <c r="I9" i="6"/>
  <c r="J9" i="6"/>
  <c r="K9" i="6"/>
  <c r="L9" i="6"/>
  <c r="M9" i="6"/>
  <c r="N9" i="6"/>
  <c r="O9" i="6"/>
  <c r="D7" i="6"/>
  <c r="O5" i="8"/>
  <c r="N5" i="8"/>
  <c r="M5" i="8"/>
  <c r="L5" i="8"/>
  <c r="K5" i="8"/>
  <c r="J5" i="8"/>
  <c r="I5" i="8"/>
  <c r="H5" i="8"/>
  <c r="O17" i="1"/>
  <c r="N17" i="1"/>
  <c r="M17" i="1"/>
  <c r="L17" i="1"/>
  <c r="K17" i="1"/>
  <c r="J17" i="1"/>
  <c r="I17" i="1"/>
  <c r="H17" i="1"/>
  <c r="G17" i="1"/>
  <c r="F17" i="1"/>
  <c r="E17" i="1"/>
  <c r="D17" i="1"/>
  <c r="O17" i="8"/>
  <c r="N17" i="8"/>
  <c r="M17" i="8"/>
  <c r="L17" i="8"/>
  <c r="K17" i="8"/>
  <c r="J17" i="8"/>
  <c r="I17" i="8"/>
  <c r="H17" i="8"/>
  <c r="O14" i="8"/>
  <c r="N14" i="8"/>
  <c r="M14" i="8"/>
  <c r="L14" i="8"/>
  <c r="K14" i="8"/>
  <c r="J14" i="8"/>
  <c r="I14" i="8"/>
  <c r="H14" i="8"/>
  <c r="G18" i="8"/>
  <c r="G7" i="1"/>
  <c r="O18" i="4"/>
  <c r="N18" i="4"/>
  <c r="M18" i="4"/>
  <c r="L18" i="4"/>
  <c r="K18" i="4"/>
  <c r="J18" i="4"/>
  <c r="I18" i="4"/>
  <c r="H18" i="4"/>
  <c r="D7" i="8"/>
  <c r="E7" i="8"/>
  <c r="F7" i="8"/>
  <c r="G7" i="8"/>
  <c r="H7" i="8"/>
  <c r="I7" i="8"/>
  <c r="J7" i="8"/>
  <c r="K7" i="8"/>
  <c r="L7" i="8"/>
  <c r="M7" i="8"/>
  <c r="N7" i="8"/>
  <c r="O7" i="8"/>
  <c r="O14" i="5"/>
  <c r="N14" i="5"/>
  <c r="M14" i="5"/>
  <c r="L14" i="5"/>
  <c r="K14" i="5"/>
  <c r="J14" i="5"/>
  <c r="I14" i="5"/>
  <c r="H14" i="5"/>
  <c r="O18" i="5"/>
  <c r="N18" i="5"/>
  <c r="M18" i="5"/>
  <c r="L18" i="5"/>
  <c r="K18" i="5"/>
  <c r="J18" i="5"/>
  <c r="I18" i="5"/>
  <c r="H18" i="5"/>
  <c r="G18" i="5"/>
  <c r="F18" i="5"/>
  <c r="E18" i="5"/>
  <c r="D18" i="5"/>
  <c r="G6" i="2"/>
  <c r="G16" i="2"/>
  <c r="G20" i="2"/>
  <c r="O18" i="1"/>
  <c r="N18" i="1"/>
  <c r="M18" i="1"/>
  <c r="L18" i="1"/>
  <c r="K18" i="1"/>
  <c r="J18" i="1"/>
  <c r="I18" i="1"/>
  <c r="H18" i="1"/>
  <c r="O7" i="1"/>
  <c r="N7" i="1"/>
  <c r="M7" i="1"/>
  <c r="L7" i="1"/>
  <c r="K7" i="1"/>
  <c r="J7" i="1"/>
  <c r="I7" i="1"/>
  <c r="H7" i="1"/>
  <c r="F7" i="1"/>
  <c r="E7" i="1"/>
  <c r="D7" i="1"/>
  <c r="O6" i="1"/>
  <c r="N6" i="1"/>
  <c r="M6" i="1"/>
  <c r="L6" i="1"/>
  <c r="K6" i="1"/>
  <c r="I6" i="1"/>
  <c r="H6" i="1"/>
  <c r="G6" i="1"/>
  <c r="F6" i="1"/>
  <c r="E6" i="1"/>
  <c r="D6" i="1"/>
  <c r="O18" i="10" l="1"/>
  <c r="N18" i="10"/>
  <c r="M18" i="10"/>
  <c r="L18" i="10"/>
  <c r="K18" i="10"/>
  <c r="J18" i="10"/>
  <c r="I18" i="10"/>
  <c r="H18" i="10"/>
  <c r="G18" i="10"/>
  <c r="F18" i="10"/>
  <c r="E18" i="10"/>
  <c r="D18" i="10"/>
  <c r="O17" i="10"/>
  <c r="N17" i="10"/>
  <c r="M17" i="10"/>
  <c r="L17" i="10"/>
  <c r="K17" i="10"/>
  <c r="J17" i="10"/>
  <c r="I17" i="10"/>
  <c r="H17" i="10"/>
  <c r="O15" i="10"/>
  <c r="N15" i="10"/>
  <c r="M15" i="10"/>
  <c r="L15" i="10"/>
  <c r="K15" i="10"/>
  <c r="J15" i="10"/>
  <c r="I15" i="10"/>
  <c r="H15" i="10"/>
  <c r="O5" i="10"/>
  <c r="N5" i="10"/>
  <c r="M5" i="10"/>
  <c r="L5" i="10"/>
  <c r="K5" i="10"/>
  <c r="J5" i="10"/>
  <c r="I5" i="10"/>
  <c r="H5" i="10"/>
  <c r="E5" i="10"/>
  <c r="D5" i="9"/>
  <c r="O19" i="10"/>
  <c r="N19" i="10"/>
  <c r="M19" i="10"/>
  <c r="L19" i="10"/>
  <c r="K19" i="10"/>
  <c r="J19" i="10"/>
  <c r="I19" i="10"/>
  <c r="H19" i="10"/>
  <c r="O16" i="10"/>
  <c r="N16" i="10"/>
  <c r="M16" i="10"/>
  <c r="L16" i="10"/>
  <c r="K16" i="10"/>
  <c r="J16" i="10"/>
  <c r="I16" i="10"/>
  <c r="H16" i="10"/>
  <c r="O6" i="10"/>
  <c r="N6" i="10"/>
  <c r="M6" i="10"/>
  <c r="L6" i="10"/>
  <c r="K6" i="10"/>
  <c r="J6" i="10"/>
  <c r="I6" i="10"/>
  <c r="H6" i="10"/>
  <c r="O7" i="10"/>
  <c r="N7" i="10"/>
  <c r="M7" i="10"/>
  <c r="L7" i="10"/>
  <c r="K7" i="10"/>
  <c r="J7" i="10"/>
  <c r="I7" i="10"/>
  <c r="H7" i="10"/>
  <c r="F7" i="10"/>
  <c r="E7" i="10"/>
  <c r="D7" i="10"/>
  <c r="O8" i="10"/>
  <c r="N8" i="10"/>
  <c r="M8" i="10"/>
  <c r="L8" i="10"/>
  <c r="K8" i="10"/>
  <c r="J8" i="10"/>
  <c r="I8" i="10"/>
  <c r="H8" i="10"/>
  <c r="G8" i="10"/>
  <c r="F8" i="10"/>
  <c r="E8" i="10"/>
  <c r="D8" i="10"/>
  <c r="D10" i="10" s="1"/>
  <c r="O17" i="9"/>
  <c r="N17" i="9"/>
  <c r="M17" i="9"/>
  <c r="L17" i="9"/>
  <c r="K17" i="9"/>
  <c r="J17" i="9"/>
  <c r="I17" i="9"/>
  <c r="H17" i="9"/>
  <c r="O15" i="9"/>
  <c r="N15" i="9"/>
  <c r="M15" i="9"/>
  <c r="L15" i="9"/>
  <c r="K15" i="9"/>
  <c r="J15" i="9"/>
  <c r="I15" i="9"/>
  <c r="H15" i="9"/>
  <c r="G15" i="9"/>
  <c r="F15" i="9"/>
  <c r="E15" i="9"/>
  <c r="D15" i="9"/>
  <c r="O14" i="9"/>
  <c r="N14" i="9"/>
  <c r="M14" i="9"/>
  <c r="L14" i="9"/>
  <c r="K14" i="9"/>
  <c r="J14" i="9"/>
  <c r="I14" i="9"/>
  <c r="H14" i="9"/>
  <c r="O6" i="9"/>
  <c r="N6" i="9"/>
  <c r="M6" i="9"/>
  <c r="L6" i="9"/>
  <c r="K6" i="9"/>
  <c r="J6" i="9"/>
  <c r="I6" i="9"/>
  <c r="H6" i="9"/>
  <c r="G6" i="9"/>
  <c r="F6" i="9"/>
  <c r="E6" i="9"/>
  <c r="D6" i="9"/>
  <c r="O5" i="9"/>
  <c r="N5" i="9"/>
  <c r="N9" i="9" s="1"/>
  <c r="M5" i="9"/>
  <c r="L5" i="9"/>
  <c r="L9" i="9" s="1"/>
  <c r="K5" i="9"/>
  <c r="J5" i="9"/>
  <c r="J9" i="9" s="1"/>
  <c r="I5" i="9"/>
  <c r="H5" i="9"/>
  <c r="H9" i="9" s="1"/>
  <c r="G5" i="9"/>
  <c r="F5" i="9"/>
  <c r="F9" i="9" s="1"/>
  <c r="E5" i="9"/>
  <c r="O18" i="9"/>
  <c r="N18" i="9"/>
  <c r="M18" i="9"/>
  <c r="L18" i="9"/>
  <c r="K18" i="9"/>
  <c r="J18" i="9"/>
  <c r="I18" i="9"/>
  <c r="H18" i="9"/>
  <c r="O16" i="9"/>
  <c r="N16" i="9"/>
  <c r="M16" i="9"/>
  <c r="L16" i="9"/>
  <c r="K16" i="9"/>
  <c r="J16" i="9"/>
  <c r="I16" i="9"/>
  <c r="H16" i="9"/>
  <c r="G16" i="9"/>
  <c r="F16" i="9"/>
  <c r="E16" i="9"/>
  <c r="D16" i="9"/>
  <c r="O7" i="9"/>
  <c r="N7" i="9"/>
  <c r="M7" i="9"/>
  <c r="L7" i="9"/>
  <c r="K7" i="9"/>
  <c r="J7" i="9"/>
  <c r="I7" i="9"/>
  <c r="H7" i="9"/>
  <c r="G7" i="9"/>
  <c r="F7" i="9"/>
  <c r="E7" i="9"/>
  <c r="D7" i="9"/>
  <c r="O7" i="2"/>
  <c r="N7" i="2"/>
  <c r="M7" i="2"/>
  <c r="L7" i="2"/>
  <c r="K7" i="2"/>
  <c r="J7" i="2"/>
  <c r="I7" i="2"/>
  <c r="H7" i="2"/>
  <c r="G7" i="2"/>
  <c r="F7" i="2"/>
  <c r="E7" i="2"/>
  <c r="D7" i="2"/>
  <c r="O8" i="9"/>
  <c r="N8" i="9"/>
  <c r="M8" i="9"/>
  <c r="L8" i="9"/>
  <c r="K8" i="9"/>
  <c r="J8" i="9"/>
  <c r="I8" i="9"/>
  <c r="H8" i="9"/>
  <c r="G8" i="9"/>
  <c r="F8" i="9"/>
  <c r="E8" i="9"/>
  <c r="D8" i="9"/>
  <c r="O16" i="8"/>
  <c r="N16" i="8"/>
  <c r="M16" i="8"/>
  <c r="L16" i="8"/>
  <c r="K16" i="8"/>
  <c r="J16" i="8"/>
  <c r="I16" i="8"/>
  <c r="H16" i="8"/>
  <c r="G16" i="8"/>
  <c r="F16" i="8"/>
  <c r="E16" i="8"/>
  <c r="D16" i="8"/>
  <c r="O15" i="8"/>
  <c r="N15" i="8"/>
  <c r="M15" i="8"/>
  <c r="L15" i="8"/>
  <c r="K15" i="8"/>
  <c r="J15" i="8"/>
  <c r="I15" i="8"/>
  <c r="H15" i="8"/>
  <c r="G15" i="8"/>
  <c r="F15" i="8"/>
  <c r="E15" i="8"/>
  <c r="D15" i="8"/>
  <c r="D8" i="8"/>
  <c r="D9" i="8" s="1"/>
  <c r="O6" i="8"/>
  <c r="N6" i="8"/>
  <c r="N9" i="8" s="1"/>
  <c r="M6" i="8"/>
  <c r="M9" i="8" s="1"/>
  <c r="L6" i="8"/>
  <c r="L9" i="8" s="1"/>
  <c r="K6" i="8"/>
  <c r="J6" i="8"/>
  <c r="J9" i="8" s="1"/>
  <c r="I6" i="8"/>
  <c r="I9" i="8" s="1"/>
  <c r="H6" i="8"/>
  <c r="H9" i="8" s="1"/>
  <c r="O18" i="8"/>
  <c r="N18" i="8"/>
  <c r="M18" i="8"/>
  <c r="L18" i="8"/>
  <c r="K18" i="8"/>
  <c r="J18" i="8"/>
  <c r="I18" i="8"/>
  <c r="H18" i="8"/>
  <c r="F18" i="8"/>
  <c r="E18" i="8"/>
  <c r="D18" i="8"/>
  <c r="O8" i="8"/>
  <c r="O9" i="8" s="1"/>
  <c r="N8" i="8"/>
  <c r="M8" i="8"/>
  <c r="L8" i="8"/>
  <c r="K8" i="8"/>
  <c r="K9" i="8" s="1"/>
  <c r="J8" i="8"/>
  <c r="I8" i="8"/>
  <c r="H8" i="8"/>
  <c r="G8" i="8"/>
  <c r="G9" i="8" s="1"/>
  <c r="F8" i="8"/>
  <c r="F9" i="8" s="1"/>
  <c r="E8" i="8"/>
  <c r="E9" i="8" s="1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O15" i="7"/>
  <c r="N15" i="7"/>
  <c r="M15" i="7"/>
  <c r="L15" i="7"/>
  <c r="K15" i="7"/>
  <c r="J15" i="7"/>
  <c r="I15" i="7"/>
  <c r="H15" i="7"/>
  <c r="F15" i="7"/>
  <c r="O14" i="7"/>
  <c r="N14" i="7"/>
  <c r="M14" i="7"/>
  <c r="L14" i="7"/>
  <c r="K14" i="7"/>
  <c r="J14" i="7"/>
  <c r="I14" i="7"/>
  <c r="H14" i="7"/>
  <c r="G14" i="7"/>
  <c r="F14" i="7"/>
  <c r="E14" i="7"/>
  <c r="D14" i="7"/>
  <c r="O7" i="7"/>
  <c r="N7" i="7"/>
  <c r="M7" i="7"/>
  <c r="L7" i="7"/>
  <c r="K7" i="7"/>
  <c r="J7" i="7"/>
  <c r="I7" i="7"/>
  <c r="H7" i="7"/>
  <c r="G7" i="7"/>
  <c r="F7" i="7"/>
  <c r="E7" i="7"/>
  <c r="D7" i="7"/>
  <c r="O6" i="7"/>
  <c r="N6" i="7"/>
  <c r="M6" i="7"/>
  <c r="L6" i="7"/>
  <c r="K6" i="7"/>
  <c r="J6" i="7"/>
  <c r="I6" i="7"/>
  <c r="H6" i="7"/>
  <c r="O5" i="7"/>
  <c r="N5" i="7"/>
  <c r="M5" i="7"/>
  <c r="L5" i="7"/>
  <c r="K5" i="7"/>
  <c r="J5" i="7"/>
  <c r="I5" i="7"/>
  <c r="H5" i="7"/>
  <c r="E5" i="7"/>
  <c r="D5" i="6"/>
  <c r="D10" i="6" s="1"/>
  <c r="O16" i="7"/>
  <c r="N16" i="7"/>
  <c r="M16" i="7"/>
  <c r="L16" i="7"/>
  <c r="K16" i="7"/>
  <c r="J16" i="7"/>
  <c r="I16" i="7"/>
  <c r="H16" i="7"/>
  <c r="G16" i="7"/>
  <c r="F16" i="7"/>
  <c r="D16" i="7"/>
  <c r="O8" i="7"/>
  <c r="N8" i="7"/>
  <c r="M8" i="7"/>
  <c r="L8" i="7"/>
  <c r="K8" i="7"/>
  <c r="J8" i="7"/>
  <c r="I8" i="7"/>
  <c r="H8" i="7"/>
  <c r="G8" i="7"/>
  <c r="F8" i="7"/>
  <c r="E8" i="7"/>
  <c r="D8" i="7"/>
  <c r="D9" i="7" s="1"/>
  <c r="O19" i="6"/>
  <c r="N19" i="6"/>
  <c r="M19" i="6"/>
  <c r="L19" i="6"/>
  <c r="K19" i="6"/>
  <c r="J19" i="6"/>
  <c r="I19" i="6"/>
  <c r="H19" i="6"/>
  <c r="F19" i="6"/>
  <c r="E19" i="6"/>
  <c r="D19" i="6"/>
  <c r="O18" i="6"/>
  <c r="N18" i="6"/>
  <c r="M18" i="6"/>
  <c r="L18" i="6"/>
  <c r="K18" i="6"/>
  <c r="J18" i="6"/>
  <c r="I18" i="6"/>
  <c r="H18" i="6"/>
  <c r="G18" i="6"/>
  <c r="F18" i="6"/>
  <c r="E18" i="6"/>
  <c r="D18" i="6"/>
  <c r="O16" i="6"/>
  <c r="N16" i="6"/>
  <c r="M16" i="6"/>
  <c r="L16" i="6"/>
  <c r="K16" i="6"/>
  <c r="J16" i="6"/>
  <c r="I16" i="6"/>
  <c r="H16" i="6"/>
  <c r="G16" i="6"/>
  <c r="F16" i="6"/>
  <c r="E16" i="6"/>
  <c r="D16" i="6"/>
  <c r="O15" i="6"/>
  <c r="N15" i="6"/>
  <c r="M15" i="6"/>
  <c r="L15" i="6"/>
  <c r="K15" i="6"/>
  <c r="J15" i="6"/>
  <c r="I15" i="6"/>
  <c r="H15" i="6"/>
  <c r="O6" i="6"/>
  <c r="N6" i="6"/>
  <c r="M6" i="6"/>
  <c r="L6" i="6"/>
  <c r="K6" i="6"/>
  <c r="J6" i="6"/>
  <c r="I6" i="6"/>
  <c r="H6" i="6"/>
  <c r="O5" i="6"/>
  <c r="N5" i="6"/>
  <c r="M5" i="6"/>
  <c r="L5" i="6"/>
  <c r="K5" i="6"/>
  <c r="J5" i="6"/>
  <c r="I5" i="6"/>
  <c r="H5" i="6"/>
  <c r="G5" i="6"/>
  <c r="F5" i="6"/>
  <c r="E5" i="6"/>
  <c r="D5" i="5"/>
  <c r="O17" i="6"/>
  <c r="N17" i="6"/>
  <c r="M17" i="6"/>
  <c r="L17" i="6"/>
  <c r="K17" i="6"/>
  <c r="J17" i="6"/>
  <c r="I17" i="6"/>
  <c r="H17" i="6"/>
  <c r="G17" i="6"/>
  <c r="F17" i="6"/>
  <c r="E17" i="6"/>
  <c r="D17" i="6"/>
  <c r="O7" i="6"/>
  <c r="N7" i="6"/>
  <c r="M7" i="6"/>
  <c r="L7" i="6"/>
  <c r="K7" i="6"/>
  <c r="J7" i="6"/>
  <c r="I7" i="6"/>
  <c r="H7" i="6"/>
  <c r="G7" i="6"/>
  <c r="F7" i="6"/>
  <c r="E7" i="6"/>
  <c r="O17" i="5"/>
  <c r="N17" i="5"/>
  <c r="M17" i="5"/>
  <c r="L17" i="5"/>
  <c r="K17" i="5"/>
  <c r="J17" i="5"/>
  <c r="I17" i="5"/>
  <c r="H17" i="5"/>
  <c r="G17" i="5"/>
  <c r="G21" i="5" s="1"/>
  <c r="F17" i="5"/>
  <c r="E17" i="5"/>
  <c r="D17" i="5"/>
  <c r="O16" i="5"/>
  <c r="N16" i="5"/>
  <c r="M16" i="5"/>
  <c r="L16" i="5"/>
  <c r="K16" i="5"/>
  <c r="J16" i="5"/>
  <c r="I16" i="5"/>
  <c r="H16" i="5"/>
  <c r="F16" i="5"/>
  <c r="E16" i="5"/>
  <c r="D16" i="5"/>
  <c r="O15" i="5"/>
  <c r="N15" i="5"/>
  <c r="M15" i="5"/>
  <c r="L15" i="5"/>
  <c r="K15" i="5"/>
  <c r="J15" i="5"/>
  <c r="I15" i="5"/>
  <c r="H15" i="5"/>
  <c r="E15" i="5"/>
  <c r="D15" i="5"/>
  <c r="O7" i="5"/>
  <c r="N7" i="5"/>
  <c r="M7" i="5"/>
  <c r="L7" i="5"/>
  <c r="K7" i="5"/>
  <c r="J7" i="5"/>
  <c r="I7" i="5"/>
  <c r="H7" i="5"/>
  <c r="G7" i="5"/>
  <c r="F7" i="5"/>
  <c r="D7" i="5"/>
  <c r="O6" i="5"/>
  <c r="N6" i="5"/>
  <c r="M6" i="5"/>
  <c r="L6" i="5"/>
  <c r="K6" i="5"/>
  <c r="J6" i="5"/>
  <c r="I6" i="5"/>
  <c r="H6" i="5"/>
  <c r="G6" i="5"/>
  <c r="F6" i="5"/>
  <c r="E6" i="5"/>
  <c r="D6" i="5"/>
  <c r="O5" i="5"/>
  <c r="N5" i="5"/>
  <c r="N9" i="5" s="1"/>
  <c r="M5" i="5"/>
  <c r="L5" i="5"/>
  <c r="L9" i="5" s="1"/>
  <c r="K5" i="5"/>
  <c r="J5" i="5"/>
  <c r="J9" i="5" s="1"/>
  <c r="I5" i="5"/>
  <c r="H5" i="5"/>
  <c r="H9" i="5" s="1"/>
  <c r="G5" i="5"/>
  <c r="F5" i="5"/>
  <c r="F9" i="5" s="1"/>
  <c r="E5" i="5"/>
  <c r="O8" i="5"/>
  <c r="N8" i="5"/>
  <c r="M8" i="5"/>
  <c r="L8" i="5"/>
  <c r="K8" i="5"/>
  <c r="J8" i="5"/>
  <c r="I8" i="5"/>
  <c r="H8" i="5"/>
  <c r="G8" i="5"/>
  <c r="F8" i="5"/>
  <c r="E8" i="5"/>
  <c r="D8" i="5"/>
  <c r="O16" i="4"/>
  <c r="N16" i="4"/>
  <c r="M16" i="4"/>
  <c r="L16" i="4"/>
  <c r="K16" i="4"/>
  <c r="J16" i="4"/>
  <c r="I16" i="4"/>
  <c r="H16" i="4"/>
  <c r="O15" i="4"/>
  <c r="N15" i="4"/>
  <c r="M15" i="4"/>
  <c r="L15" i="4"/>
  <c r="K15" i="4"/>
  <c r="J15" i="4"/>
  <c r="I15" i="4"/>
  <c r="H15" i="4"/>
  <c r="D14" i="4"/>
  <c r="O14" i="4"/>
  <c r="N14" i="4"/>
  <c r="M14" i="4"/>
  <c r="L14" i="4"/>
  <c r="K14" i="4"/>
  <c r="J14" i="4"/>
  <c r="I14" i="4"/>
  <c r="H14" i="4"/>
  <c r="G14" i="4"/>
  <c r="F14" i="4"/>
  <c r="E14" i="4"/>
  <c r="O17" i="4"/>
  <c r="N17" i="4"/>
  <c r="M17" i="4"/>
  <c r="L17" i="4"/>
  <c r="K17" i="4"/>
  <c r="J17" i="4"/>
  <c r="I17" i="4"/>
  <c r="H17" i="4"/>
  <c r="O7" i="4"/>
  <c r="N7" i="4"/>
  <c r="M7" i="4"/>
  <c r="L7" i="4"/>
  <c r="K7" i="4"/>
  <c r="J7" i="4"/>
  <c r="I7" i="4"/>
  <c r="H7" i="4"/>
  <c r="O8" i="4"/>
  <c r="N8" i="4"/>
  <c r="M8" i="4"/>
  <c r="L8" i="4"/>
  <c r="K8" i="4"/>
  <c r="J8" i="4"/>
  <c r="I8" i="4"/>
  <c r="H8" i="4"/>
  <c r="G8" i="4"/>
  <c r="F8" i="4"/>
  <c r="E8" i="4"/>
  <c r="D8" i="4"/>
  <c r="O18" i="3"/>
  <c r="N18" i="3"/>
  <c r="M18" i="3"/>
  <c r="L18" i="3"/>
  <c r="K18" i="3"/>
  <c r="J18" i="3"/>
  <c r="I18" i="3"/>
  <c r="F18" i="3"/>
  <c r="E18" i="3"/>
  <c r="D18" i="3"/>
  <c r="O17" i="3"/>
  <c r="N17" i="3"/>
  <c r="M17" i="3"/>
  <c r="L17" i="3"/>
  <c r="K17" i="3"/>
  <c r="J17" i="3"/>
  <c r="I17" i="3"/>
  <c r="O16" i="3"/>
  <c r="N16" i="3"/>
  <c r="M16" i="3"/>
  <c r="L16" i="3"/>
  <c r="K16" i="3"/>
  <c r="J16" i="3"/>
  <c r="I16" i="3"/>
  <c r="H16" i="3"/>
  <c r="G16" i="3"/>
  <c r="F16" i="3"/>
  <c r="E16" i="3"/>
  <c r="D16" i="3"/>
  <c r="O15" i="3"/>
  <c r="N15" i="3"/>
  <c r="M15" i="3"/>
  <c r="L15" i="3"/>
  <c r="K15" i="3"/>
  <c r="J15" i="3"/>
  <c r="I15" i="3"/>
  <c r="H15" i="3"/>
  <c r="O14" i="3"/>
  <c r="N14" i="3"/>
  <c r="M14" i="3"/>
  <c r="L14" i="3"/>
  <c r="K14" i="3"/>
  <c r="J14" i="3"/>
  <c r="I14" i="3"/>
  <c r="H14" i="3"/>
  <c r="G14" i="3"/>
  <c r="F14" i="3"/>
  <c r="E14" i="3"/>
  <c r="D14" i="3"/>
  <c r="O7" i="3"/>
  <c r="O9" i="3" s="1"/>
  <c r="N7" i="3"/>
  <c r="N9" i="3" s="1"/>
  <c r="M7" i="3"/>
  <c r="M9" i="3" s="1"/>
  <c r="L7" i="3"/>
  <c r="L9" i="3" s="1"/>
  <c r="K7" i="3"/>
  <c r="K9" i="3" s="1"/>
  <c r="J7" i="3"/>
  <c r="J9" i="3" s="1"/>
  <c r="I7" i="3"/>
  <c r="I9" i="3" s="1"/>
  <c r="H7" i="3"/>
  <c r="F7" i="3"/>
  <c r="F9" i="3" s="1"/>
  <c r="E7" i="3"/>
  <c r="E9" i="3" s="1"/>
  <c r="D6" i="2"/>
  <c r="O8" i="3"/>
  <c r="N8" i="3"/>
  <c r="M8" i="3"/>
  <c r="L8" i="3"/>
  <c r="K8" i="3"/>
  <c r="J8" i="3"/>
  <c r="I8" i="3"/>
  <c r="H8" i="3"/>
  <c r="G8" i="3"/>
  <c r="G9" i="3" s="1"/>
  <c r="F8" i="3"/>
  <c r="E8" i="3"/>
  <c r="D8" i="3"/>
  <c r="D9" i="3" s="1"/>
  <c r="O18" i="2"/>
  <c r="N18" i="2"/>
  <c r="M18" i="2"/>
  <c r="L18" i="2"/>
  <c r="K18" i="2"/>
  <c r="J18" i="2"/>
  <c r="I18" i="2"/>
  <c r="H18" i="2"/>
  <c r="G18" i="2"/>
  <c r="F18" i="2"/>
  <c r="E18" i="2"/>
  <c r="D18" i="2"/>
  <c r="O17" i="2"/>
  <c r="N17" i="2"/>
  <c r="M17" i="2"/>
  <c r="L17" i="2"/>
  <c r="K17" i="2"/>
  <c r="J17" i="2"/>
  <c r="I17" i="2"/>
  <c r="H17" i="2"/>
  <c r="O16" i="2"/>
  <c r="N16" i="2"/>
  <c r="M16" i="2"/>
  <c r="L16" i="2"/>
  <c r="K16" i="2"/>
  <c r="J16" i="2"/>
  <c r="I16" i="2"/>
  <c r="H16" i="2"/>
  <c r="F16" i="2"/>
  <c r="E16" i="2"/>
  <c r="D16" i="2"/>
  <c r="G15" i="2"/>
  <c r="F15" i="2"/>
  <c r="E15" i="2"/>
  <c r="D15" i="2"/>
  <c r="O8" i="2"/>
  <c r="N8" i="2"/>
  <c r="M8" i="2"/>
  <c r="L8" i="2"/>
  <c r="K8" i="2"/>
  <c r="J8" i="2"/>
  <c r="I8" i="2"/>
  <c r="H8" i="2"/>
  <c r="G8" i="2"/>
  <c r="F8" i="2"/>
  <c r="E8" i="2"/>
  <c r="D8" i="2"/>
  <c r="O6" i="2"/>
  <c r="N6" i="2"/>
  <c r="M6" i="2"/>
  <c r="L6" i="2"/>
  <c r="K6" i="2"/>
  <c r="J6" i="2"/>
  <c r="I6" i="2"/>
  <c r="H6" i="2"/>
  <c r="F6" i="2"/>
  <c r="E6" i="2"/>
  <c r="D19" i="1"/>
  <c r="O20" i="10"/>
  <c r="O22" i="10" s="1"/>
  <c r="O25" i="10" s="1"/>
  <c r="N20" i="10"/>
  <c r="N22" i="10" s="1"/>
  <c r="N25" i="10" s="1"/>
  <c r="M20" i="10"/>
  <c r="M22" i="10" s="1"/>
  <c r="M25" i="10" s="1"/>
  <c r="L20" i="10"/>
  <c r="L22" i="10" s="1"/>
  <c r="L25" i="10" s="1"/>
  <c r="K20" i="10"/>
  <c r="K22" i="10" s="1"/>
  <c r="K25" i="10" s="1"/>
  <c r="J20" i="10"/>
  <c r="J22" i="10" s="1"/>
  <c r="J25" i="10" s="1"/>
  <c r="I20" i="10"/>
  <c r="I22" i="10" s="1"/>
  <c r="I25" i="10" s="1"/>
  <c r="H20" i="10"/>
  <c r="H22" i="10" s="1"/>
  <c r="H25" i="10" s="1"/>
  <c r="G20" i="10"/>
  <c r="G22" i="10" s="1"/>
  <c r="G25" i="10" s="1"/>
  <c r="F20" i="10"/>
  <c r="F22" i="10" s="1"/>
  <c r="F25" i="10" s="1"/>
  <c r="E20" i="10"/>
  <c r="E22" i="10" s="1"/>
  <c r="E25" i="10" s="1"/>
  <c r="D20" i="10"/>
  <c r="D22" i="10" s="1"/>
  <c r="O19" i="9"/>
  <c r="O21" i="9" s="1"/>
  <c r="O24" i="9" s="1"/>
  <c r="N19" i="9"/>
  <c r="N21" i="9" s="1"/>
  <c r="N24" i="9" s="1"/>
  <c r="M19" i="9"/>
  <c r="M21" i="9" s="1"/>
  <c r="M24" i="9" s="1"/>
  <c r="L19" i="9"/>
  <c r="L21" i="9" s="1"/>
  <c r="L24" i="9" s="1"/>
  <c r="K19" i="9"/>
  <c r="K21" i="9" s="1"/>
  <c r="K24" i="9" s="1"/>
  <c r="J19" i="9"/>
  <c r="J21" i="9" s="1"/>
  <c r="J24" i="9" s="1"/>
  <c r="I19" i="9"/>
  <c r="I21" i="9" s="1"/>
  <c r="I24" i="9" s="1"/>
  <c r="H19" i="9"/>
  <c r="H21" i="9" s="1"/>
  <c r="H24" i="9" s="1"/>
  <c r="G19" i="9"/>
  <c r="G21" i="9" s="1"/>
  <c r="G24" i="9" s="1"/>
  <c r="F19" i="9"/>
  <c r="F21" i="9" s="1"/>
  <c r="F24" i="9" s="1"/>
  <c r="E19" i="9"/>
  <c r="E21" i="9" s="1"/>
  <c r="E24" i="9" s="1"/>
  <c r="D19" i="9"/>
  <c r="O20" i="8"/>
  <c r="N20" i="8"/>
  <c r="M20" i="8"/>
  <c r="L20" i="8"/>
  <c r="J20" i="8"/>
  <c r="H20" i="8"/>
  <c r="G20" i="8"/>
  <c r="F20" i="8"/>
  <c r="E20" i="8"/>
  <c r="D20" i="8"/>
  <c r="O19" i="8"/>
  <c r="N19" i="8"/>
  <c r="M19" i="8"/>
  <c r="L19" i="8"/>
  <c r="K19" i="8"/>
  <c r="J19" i="8"/>
  <c r="I19" i="8"/>
  <c r="H19" i="8"/>
  <c r="G19" i="8"/>
  <c r="F19" i="8"/>
  <c r="E19" i="8"/>
  <c r="D19" i="8"/>
  <c r="O20" i="7"/>
  <c r="N20" i="7"/>
  <c r="M20" i="7"/>
  <c r="L20" i="7"/>
  <c r="J20" i="7"/>
  <c r="H20" i="7"/>
  <c r="G20" i="7"/>
  <c r="F20" i="7"/>
  <c r="E20" i="7"/>
  <c r="D20" i="7"/>
  <c r="O19" i="7"/>
  <c r="O21" i="7" s="1"/>
  <c r="N19" i="7"/>
  <c r="N21" i="7" s="1"/>
  <c r="M19" i="7"/>
  <c r="M21" i="7" s="1"/>
  <c r="L19" i="7"/>
  <c r="L21" i="7" s="1"/>
  <c r="K19" i="7"/>
  <c r="K21" i="7" s="1"/>
  <c r="J19" i="7"/>
  <c r="J21" i="7" s="1"/>
  <c r="I19" i="7"/>
  <c r="I21" i="7" s="1"/>
  <c r="H19" i="7"/>
  <c r="H21" i="7" s="1"/>
  <c r="G19" i="7"/>
  <c r="G21" i="7" s="1"/>
  <c r="F19" i="7"/>
  <c r="F21" i="7" s="1"/>
  <c r="E19" i="7"/>
  <c r="E21" i="7" s="1"/>
  <c r="D19" i="7"/>
  <c r="O21" i="6"/>
  <c r="N21" i="6"/>
  <c r="M21" i="6"/>
  <c r="L21" i="6"/>
  <c r="J21" i="6"/>
  <c r="H21" i="6"/>
  <c r="G21" i="6"/>
  <c r="F21" i="6"/>
  <c r="E21" i="6"/>
  <c r="D21" i="6"/>
  <c r="O20" i="6"/>
  <c r="O22" i="6" s="1"/>
  <c r="O25" i="6" s="1"/>
  <c r="N20" i="6"/>
  <c r="N22" i="6" s="1"/>
  <c r="N25" i="6" s="1"/>
  <c r="M20" i="6"/>
  <c r="M22" i="6" s="1"/>
  <c r="M25" i="6" s="1"/>
  <c r="L20" i="6"/>
  <c r="L22" i="6" s="1"/>
  <c r="L25" i="6" s="1"/>
  <c r="K20" i="6"/>
  <c r="K22" i="6" s="1"/>
  <c r="K25" i="6" s="1"/>
  <c r="J20" i="6"/>
  <c r="J22" i="6" s="1"/>
  <c r="J25" i="6" s="1"/>
  <c r="I20" i="6"/>
  <c r="I22" i="6" s="1"/>
  <c r="I25" i="6" s="1"/>
  <c r="H20" i="6"/>
  <c r="H22" i="6" s="1"/>
  <c r="H25" i="6" s="1"/>
  <c r="G20" i="6"/>
  <c r="G22" i="6" s="1"/>
  <c r="G25" i="6" s="1"/>
  <c r="F20" i="6"/>
  <c r="F22" i="6" s="1"/>
  <c r="F25" i="6" s="1"/>
  <c r="E20" i="6"/>
  <c r="E22" i="6" s="1"/>
  <c r="E25" i="6" s="1"/>
  <c r="D20" i="6"/>
  <c r="O20" i="5"/>
  <c r="N20" i="5"/>
  <c r="M20" i="5"/>
  <c r="L20" i="5"/>
  <c r="J20" i="5"/>
  <c r="H20" i="5"/>
  <c r="G20" i="5"/>
  <c r="F20" i="5"/>
  <c r="E20" i="5"/>
  <c r="D20" i="5"/>
  <c r="O19" i="5"/>
  <c r="N19" i="5"/>
  <c r="M19" i="5"/>
  <c r="L19" i="5"/>
  <c r="K19" i="5"/>
  <c r="J19" i="5"/>
  <c r="I19" i="5"/>
  <c r="H19" i="5"/>
  <c r="G19" i="5"/>
  <c r="F19" i="5"/>
  <c r="E19" i="5"/>
  <c r="D19" i="5"/>
  <c r="O20" i="4"/>
  <c r="N20" i="4"/>
  <c r="M20" i="4"/>
  <c r="L20" i="4"/>
  <c r="J20" i="4"/>
  <c r="H20" i="4"/>
  <c r="G20" i="4"/>
  <c r="F20" i="4"/>
  <c r="E20" i="4"/>
  <c r="D20" i="4"/>
  <c r="O19" i="4"/>
  <c r="N19" i="4"/>
  <c r="M19" i="4"/>
  <c r="L19" i="4"/>
  <c r="K19" i="4"/>
  <c r="J19" i="4"/>
  <c r="I19" i="4"/>
  <c r="H19" i="4"/>
  <c r="G19" i="4"/>
  <c r="F19" i="4"/>
  <c r="E19" i="4"/>
  <c r="D19" i="4"/>
  <c r="O20" i="3"/>
  <c r="N20" i="3"/>
  <c r="M20" i="3"/>
  <c r="L20" i="3"/>
  <c r="J20" i="3"/>
  <c r="H20" i="3"/>
  <c r="G20" i="3"/>
  <c r="F20" i="3"/>
  <c r="E20" i="3"/>
  <c r="D20" i="3"/>
  <c r="O19" i="3"/>
  <c r="O21" i="3" s="1"/>
  <c r="N19" i="3"/>
  <c r="N21" i="3" s="1"/>
  <c r="N24" i="3" s="1"/>
  <c r="M19" i="3"/>
  <c r="M21" i="3" s="1"/>
  <c r="M24" i="3" s="1"/>
  <c r="L19" i="3"/>
  <c r="L21" i="3" s="1"/>
  <c r="L24" i="3" s="1"/>
  <c r="K19" i="3"/>
  <c r="K21" i="3" s="1"/>
  <c r="K24" i="3" s="1"/>
  <c r="J19" i="3"/>
  <c r="J21" i="3" s="1"/>
  <c r="J24" i="3" s="1"/>
  <c r="I19" i="3"/>
  <c r="I21" i="3" s="1"/>
  <c r="I24" i="3" s="1"/>
  <c r="H19" i="3"/>
  <c r="H21" i="3" s="1"/>
  <c r="H24" i="3" s="1"/>
  <c r="G19" i="3"/>
  <c r="G21" i="3" s="1"/>
  <c r="G24" i="3" s="1"/>
  <c r="F19" i="3"/>
  <c r="F21" i="3" s="1"/>
  <c r="F24" i="3" s="1"/>
  <c r="E19" i="3"/>
  <c r="E21" i="3" s="1"/>
  <c r="E24" i="3" s="1"/>
  <c r="D19" i="3"/>
  <c r="O20" i="2"/>
  <c r="N20" i="2"/>
  <c r="M20" i="2"/>
  <c r="L20" i="2"/>
  <c r="J20" i="2"/>
  <c r="H20" i="2"/>
  <c r="F20" i="2"/>
  <c r="E20" i="2"/>
  <c r="D20" i="2"/>
  <c r="O19" i="2"/>
  <c r="O21" i="2" s="1"/>
  <c r="O24" i="2" s="1"/>
  <c r="N19" i="2"/>
  <c r="N21" i="2" s="1"/>
  <c r="N24" i="2" s="1"/>
  <c r="M19" i="2"/>
  <c r="M21" i="2" s="1"/>
  <c r="M24" i="2" s="1"/>
  <c r="L19" i="2"/>
  <c r="L21" i="2" s="1"/>
  <c r="L24" i="2" s="1"/>
  <c r="K19" i="2"/>
  <c r="K21" i="2" s="1"/>
  <c r="K24" i="2" s="1"/>
  <c r="J19" i="2"/>
  <c r="J21" i="2" s="1"/>
  <c r="J24" i="2" s="1"/>
  <c r="I19" i="2"/>
  <c r="I21" i="2" s="1"/>
  <c r="I24" i="2" s="1"/>
  <c r="H19" i="2"/>
  <c r="H21" i="2" s="1"/>
  <c r="H24" i="2" s="1"/>
  <c r="G19" i="2"/>
  <c r="G21" i="2" s="1"/>
  <c r="G24" i="2" s="1"/>
  <c r="F19" i="2"/>
  <c r="F21" i="2" s="1"/>
  <c r="F24" i="2" s="1"/>
  <c r="E19" i="2"/>
  <c r="E21" i="2" s="1"/>
  <c r="E24" i="2" s="1"/>
  <c r="O20" i="1"/>
  <c r="N20" i="1"/>
  <c r="M20" i="1"/>
  <c r="L20" i="1"/>
  <c r="J20" i="1"/>
  <c r="H20" i="1"/>
  <c r="G20" i="1"/>
  <c r="F20" i="1"/>
  <c r="E20" i="1"/>
  <c r="D20" i="1"/>
  <c r="O19" i="1"/>
  <c r="N19" i="1"/>
  <c r="M19" i="1"/>
  <c r="L19" i="1"/>
  <c r="K19" i="1"/>
  <c r="J19" i="1"/>
  <c r="I19" i="1"/>
  <c r="H19" i="1"/>
  <c r="G19" i="1"/>
  <c r="F19" i="1"/>
  <c r="E19" i="1"/>
  <c r="D16" i="1"/>
  <c r="O16" i="1"/>
  <c r="N16" i="1"/>
  <c r="M16" i="1"/>
  <c r="L16" i="1"/>
  <c r="K16" i="1"/>
  <c r="J16" i="1"/>
  <c r="I16" i="1"/>
  <c r="H16" i="1"/>
  <c r="G16" i="1"/>
  <c r="F16" i="1"/>
  <c r="E16" i="1"/>
  <c r="D15" i="1"/>
  <c r="O15" i="1"/>
  <c r="N15" i="1"/>
  <c r="M15" i="1"/>
  <c r="L15" i="1"/>
  <c r="K15" i="1"/>
  <c r="J15" i="1"/>
  <c r="I15" i="1"/>
  <c r="H15" i="1"/>
  <c r="F15" i="1"/>
  <c r="E15" i="1"/>
  <c r="D14" i="1"/>
  <c r="O14" i="1"/>
  <c r="N14" i="1"/>
  <c r="M14" i="1"/>
  <c r="M21" i="1" s="1"/>
  <c r="L14" i="1"/>
  <c r="K14" i="1"/>
  <c r="J14" i="1"/>
  <c r="I14" i="1"/>
  <c r="I21" i="1" s="1"/>
  <c r="H14" i="1"/>
  <c r="G14" i="1"/>
  <c r="F14" i="1"/>
  <c r="E14" i="1"/>
  <c r="E21" i="1" s="1"/>
  <c r="D8" i="1"/>
  <c r="O8" i="1"/>
  <c r="N8" i="1"/>
  <c r="M8" i="1"/>
  <c r="L8" i="1"/>
  <c r="K8" i="1"/>
  <c r="J8" i="1"/>
  <c r="I8" i="1"/>
  <c r="H8" i="1"/>
  <c r="G8" i="1"/>
  <c r="F8" i="1"/>
  <c r="E8" i="1"/>
  <c r="J6" i="1"/>
  <c r="O5" i="1"/>
  <c r="O9" i="1" s="1"/>
  <c r="N5" i="1"/>
  <c r="N9" i="1" s="1"/>
  <c r="M5" i="1"/>
  <c r="M9" i="1" s="1"/>
  <c r="M24" i="1" s="1"/>
  <c r="L5" i="1"/>
  <c r="L9" i="1" s="1"/>
  <c r="K5" i="1"/>
  <c r="K9" i="1" s="1"/>
  <c r="J5" i="1"/>
  <c r="J9" i="1" s="1"/>
  <c r="I5" i="1"/>
  <c r="I9" i="1" s="1"/>
  <c r="I24" i="1" s="1"/>
  <c r="H5" i="1"/>
  <c r="H9" i="1" s="1"/>
  <c r="G5" i="1"/>
  <c r="G9" i="1" s="1"/>
  <c r="F5" i="1"/>
  <c r="F9" i="1" s="1"/>
  <c r="E5" i="1"/>
  <c r="E9" i="1" s="1"/>
  <c r="E24" i="1" s="1"/>
  <c r="D5" i="1"/>
  <c r="D9" i="1" s="1"/>
  <c r="K21" i="5" l="1"/>
  <c r="O21" i="5"/>
  <c r="H21" i="5"/>
  <c r="L21" i="5"/>
  <c r="L24" i="5" s="1"/>
  <c r="I21" i="5"/>
  <c r="M21" i="5"/>
  <c r="J21" i="5"/>
  <c r="N21" i="5"/>
  <c r="N24" i="5" s="1"/>
  <c r="K24" i="1"/>
  <c r="O24" i="1"/>
  <c r="G21" i="1"/>
  <c r="G24" i="1" s="1"/>
  <c r="K21" i="1"/>
  <c r="O21" i="1"/>
  <c r="I21" i="8"/>
  <c r="I24" i="8" s="1"/>
  <c r="M21" i="8"/>
  <c r="M24" i="8" s="1"/>
  <c r="J21" i="8"/>
  <c r="J24" i="8" s="1"/>
  <c r="N21" i="8"/>
  <c r="N24" i="8" s="1"/>
  <c r="H21" i="8"/>
  <c r="H24" i="8" s="1"/>
  <c r="L21" i="8"/>
  <c r="L24" i="8" s="1"/>
  <c r="K21" i="8"/>
  <c r="K24" i="8" s="1"/>
  <c r="O21" i="8"/>
  <c r="O24" i="8" s="1"/>
  <c r="E9" i="9"/>
  <c r="G9" i="9"/>
  <c r="I9" i="9"/>
  <c r="K9" i="9"/>
  <c r="M9" i="9"/>
  <c r="O9" i="9"/>
  <c r="E21" i="8"/>
  <c r="E24" i="8" s="1"/>
  <c r="G21" i="8"/>
  <c r="G24" i="8" s="1"/>
  <c r="F21" i="8"/>
  <c r="F24" i="8" s="1"/>
  <c r="H24" i="5"/>
  <c r="J24" i="5"/>
  <c r="E21" i="5"/>
  <c r="E9" i="5"/>
  <c r="G9" i="5"/>
  <c r="G24" i="5" s="1"/>
  <c r="I9" i="5"/>
  <c r="I24" i="5" s="1"/>
  <c r="K9" i="5"/>
  <c r="K24" i="5" s="1"/>
  <c r="M9" i="5"/>
  <c r="M24" i="5" s="1"/>
  <c r="O9" i="5"/>
  <c r="F21" i="5"/>
  <c r="F24" i="5" s="1"/>
  <c r="H9" i="3"/>
  <c r="F21" i="1"/>
  <c r="F24" i="1" s="1"/>
  <c r="H21" i="1"/>
  <c r="H24" i="1" s="1"/>
  <c r="J21" i="1"/>
  <c r="J24" i="1" s="1"/>
  <c r="L21" i="1"/>
  <c r="L24" i="1" s="1"/>
  <c r="N21" i="1"/>
  <c r="N24" i="1" s="1"/>
  <c r="D21" i="1"/>
  <c r="D9" i="9"/>
  <c r="D21" i="3"/>
  <c r="D24" i="3" s="1"/>
  <c r="H21" i="4"/>
  <c r="H24" i="4" s="1"/>
  <c r="L21" i="4"/>
  <c r="L24" i="4" s="1"/>
  <c r="D21" i="4"/>
  <c r="D25" i="10"/>
  <c r="D21" i="9"/>
  <c r="D24" i="9" s="1"/>
  <c r="D21" i="8"/>
  <c r="D24" i="8"/>
  <c r="N24" i="7"/>
  <c r="J24" i="7"/>
  <c r="F24" i="7"/>
  <c r="G24" i="7"/>
  <c r="D21" i="7"/>
  <c r="D24" i="7" s="1"/>
  <c r="H24" i="7"/>
  <c r="E24" i="7"/>
  <c r="D22" i="6"/>
  <c r="D25" i="6" s="1"/>
  <c r="D21" i="5"/>
  <c r="D9" i="5"/>
  <c r="E21" i="4"/>
  <c r="E24" i="4" s="1"/>
  <c r="F21" i="4"/>
  <c r="F24" i="4" s="1"/>
  <c r="J21" i="4"/>
  <c r="J24" i="4" s="1"/>
  <c r="N21" i="4"/>
  <c r="N24" i="4" s="1"/>
  <c r="G21" i="4"/>
  <c r="G24" i="4" s="1"/>
  <c r="I21" i="4"/>
  <c r="I24" i="4" s="1"/>
  <c r="M21" i="4"/>
  <c r="M24" i="4" s="1"/>
  <c r="K21" i="4"/>
  <c r="K24" i="4" s="1"/>
  <c r="D21" i="2"/>
  <c r="O21" i="4"/>
  <c r="O24" i="3"/>
  <c r="D24" i="1"/>
  <c r="O24" i="5" l="1"/>
  <c r="L24" i="7"/>
  <c r="E24" i="5"/>
  <c r="M24" i="7"/>
  <c r="I24" i="7"/>
  <c r="K24" i="7"/>
  <c r="D24" i="5"/>
  <c r="O24" i="7"/>
  <c r="D24" i="2"/>
  <c r="M4" i="11"/>
  <c r="K4" i="11" s="1"/>
  <c r="M12" i="11"/>
  <c r="K12" i="11" s="1"/>
  <c r="M8" i="11"/>
  <c r="K8" i="11" s="1"/>
  <c r="M15" i="11"/>
  <c r="K15" i="11" s="1"/>
  <c r="M11" i="11"/>
  <c r="K11" i="11" s="1"/>
  <c r="M7" i="11"/>
  <c r="K7" i="11" s="1"/>
  <c r="M14" i="11"/>
  <c r="K14" i="11" s="1"/>
  <c r="M10" i="11"/>
  <c r="K10" i="11" s="1"/>
  <c r="M6" i="11"/>
  <c r="K6" i="11" s="1"/>
  <c r="M13" i="11"/>
  <c r="K13" i="11" s="1"/>
  <c r="M9" i="11"/>
  <c r="K9" i="11" s="1"/>
  <c r="M5" i="11"/>
  <c r="K5" i="11" s="1"/>
  <c r="L6" i="4" l="1"/>
  <c r="M6" i="4"/>
  <c r="N6" i="4"/>
  <c r="E14" i="11" s="1"/>
  <c r="C14" i="11" s="1"/>
  <c r="K6" i="4"/>
  <c r="E11" i="11" s="1"/>
  <c r="C11" i="11" s="1"/>
  <c r="G6" i="4"/>
  <c r="O6" i="4"/>
  <c r="E6" i="4"/>
  <c r="H6" i="4"/>
  <c r="D6" i="4"/>
  <c r="D9" i="4" s="1"/>
  <c r="J6" i="4"/>
  <c r="I6" i="4"/>
  <c r="F6" i="4"/>
  <c r="E6" i="11" s="1"/>
  <c r="C6" i="11" s="1"/>
  <c r="E8" i="11" l="1"/>
  <c r="C8" i="11" s="1"/>
  <c r="E9" i="11"/>
  <c r="C9" i="11" s="1"/>
  <c r="E5" i="11"/>
  <c r="C5" i="11" s="1"/>
  <c r="E15" i="11"/>
  <c r="C15" i="11" s="1"/>
  <c r="O24" i="4"/>
  <c r="E10" i="11"/>
  <c r="C10" i="11" s="1"/>
  <c r="E7" i="11"/>
  <c r="C7" i="11" s="1"/>
  <c r="E13" i="11"/>
  <c r="C13" i="11" s="1"/>
  <c r="D24" i="4"/>
  <c r="E4" i="11"/>
  <c r="C4" i="11" s="1"/>
  <c r="E12" i="11"/>
  <c r="C12" i="11" s="1"/>
</calcChain>
</file>

<file path=xl/sharedStrings.xml><?xml version="1.0" encoding="utf-8"?>
<sst xmlns="http://schemas.openxmlformats.org/spreadsheetml/2006/main" count="587" uniqueCount="115">
  <si>
    <t>Рецептура</t>
  </si>
  <si>
    <t>№</t>
  </si>
  <si>
    <t>Итог</t>
  </si>
  <si>
    <t xml:space="preserve">Наименование блюда </t>
  </si>
  <si>
    <t>Масса порции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</si>
  <si>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</si>
  <si>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</si>
  <si>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</si>
  <si>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</si>
  <si>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</si>
  <si>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</si>
  <si>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</si>
  <si>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</si>
  <si>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</si>
  <si>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E</t>
  </si>
  <si>
    <t>A</t>
  </si>
  <si>
    <t>Ca</t>
  </si>
  <si>
    <t>P</t>
  </si>
  <si>
    <t>Mg</t>
  </si>
  <si>
    <t>Fe</t>
  </si>
  <si>
    <t>Каша вязкая пшенная молочная</t>
  </si>
  <si>
    <t>Кисель плод. ягодный</t>
  </si>
  <si>
    <t>Завтрак</t>
  </si>
  <si>
    <t>Обед</t>
  </si>
  <si>
    <t>Салат "Бурячок"</t>
  </si>
  <si>
    <t>Суп гороховый</t>
  </si>
  <si>
    <t>Биточки паровые</t>
  </si>
  <si>
    <t>Макароны отварные</t>
  </si>
  <si>
    <t>Чай с сахаром</t>
  </si>
  <si>
    <t>Хлеб пшеничный</t>
  </si>
  <si>
    <t xml:space="preserve">Хлеб ржаной </t>
  </si>
  <si>
    <t>Каша молочная "Дружба"</t>
  </si>
  <si>
    <t>Венегрет овощной</t>
  </si>
  <si>
    <t>Чай с молоком</t>
  </si>
  <si>
    <t>Щи из свежей капусты</t>
  </si>
  <si>
    <t>Рис отварной</t>
  </si>
  <si>
    <t>Кофейный напиток</t>
  </si>
  <si>
    <t>Напиток "Несквик"</t>
  </si>
  <si>
    <t>Суп с макаронными изделими с мясом</t>
  </si>
  <si>
    <t>Кура отварная</t>
  </si>
  <si>
    <t>Компот из суховруктов</t>
  </si>
  <si>
    <t>Салат "Пестрый"</t>
  </si>
  <si>
    <t>Чай с лимоном</t>
  </si>
  <si>
    <t>Каша вязкая геркулесовая</t>
  </si>
  <si>
    <t xml:space="preserve">Салат из свежих огурцов с растельным маслом </t>
  </si>
  <si>
    <t>Борщ из свежей капусты с картофелем</t>
  </si>
  <si>
    <t>Картофельное пюре</t>
  </si>
  <si>
    <t>Колбаса вареная</t>
  </si>
  <si>
    <t>Рассольник с мясом</t>
  </si>
  <si>
    <t>Ёжики мясные</t>
  </si>
  <si>
    <t>Компот из яблок</t>
  </si>
  <si>
    <t xml:space="preserve">Салат из свеклы с растительным маслом </t>
  </si>
  <si>
    <t>Суп куринный с вермишелью</t>
  </si>
  <si>
    <t>Греча отварная</t>
  </si>
  <si>
    <t>Компот из кураги</t>
  </si>
  <si>
    <t>Плов с изюмом</t>
  </si>
  <si>
    <t>Салат из свежих помидор с растительным маслом</t>
  </si>
  <si>
    <t>Суп картофельный с рыбой</t>
  </si>
  <si>
    <t>Зразы школьные</t>
  </si>
  <si>
    <t>Суп овощной</t>
  </si>
  <si>
    <t xml:space="preserve">Рыба припущенная </t>
  </si>
  <si>
    <t>Сок апельсиновый</t>
  </si>
  <si>
    <t xml:space="preserve">Название пищевых веществ </t>
  </si>
  <si>
    <t xml:space="preserve">Усредненная потребляемость пищевых веществ </t>
  </si>
  <si>
    <t xml:space="preserve">За 1 день </t>
  </si>
  <si>
    <t>Белки (г)</t>
  </si>
  <si>
    <t>Жиры (г)</t>
  </si>
  <si>
    <t>Углеводы (г)</t>
  </si>
  <si>
    <t>Энергетическая ценность (ккал)</t>
  </si>
  <si>
    <t>Витамин В1 (мг)</t>
  </si>
  <si>
    <t>Витамин С (мг)</t>
  </si>
  <si>
    <t>Витамин Е (мг)</t>
  </si>
  <si>
    <t>Витамин А (мг рет. экв)</t>
  </si>
  <si>
    <t>Кальций (мг)</t>
  </si>
  <si>
    <t>Фосфор (мг)</t>
  </si>
  <si>
    <t>Магний (мг)</t>
  </si>
  <si>
    <t>Железо (мг)</t>
  </si>
  <si>
    <t>За 10 дней</t>
  </si>
  <si>
    <t xml:space="preserve">Завтрак </t>
  </si>
  <si>
    <t xml:space="preserve">Салат из белокочанной капусты </t>
  </si>
  <si>
    <t>Общий итог</t>
  </si>
  <si>
    <t>Снежок</t>
  </si>
  <si>
    <t xml:space="preserve">Сыр порционно </t>
  </si>
  <si>
    <t xml:space="preserve">  </t>
  </si>
  <si>
    <t>Салат зелёный с огурцом</t>
  </si>
  <si>
    <t>суфле рыбное</t>
  </si>
  <si>
    <t>Огурец свежий</t>
  </si>
  <si>
    <t>Салат метелка</t>
  </si>
  <si>
    <t>Макароны с сыром</t>
  </si>
  <si>
    <t>Капуста тушеная</t>
  </si>
  <si>
    <t>пудинг творожный с вареньем</t>
  </si>
  <si>
    <t>Салат "Морковь с сахаром"</t>
  </si>
  <si>
    <t>огурец соленый</t>
  </si>
  <si>
    <t>Салат изюминка</t>
  </si>
  <si>
    <t>Салат из белокочанной капусты с огурцами</t>
  </si>
  <si>
    <t>Салатметёлка</t>
  </si>
  <si>
    <t xml:space="preserve">Каша рисовая  </t>
  </si>
  <si>
    <t>Салат "Школьные годы"</t>
  </si>
  <si>
    <t>Каша геркулесовая</t>
  </si>
  <si>
    <t xml:space="preserve">Каша манная молочная </t>
  </si>
  <si>
    <t>Котлета рубленная из птицы</t>
  </si>
  <si>
    <t>кефир с сахаром</t>
  </si>
  <si>
    <t>Салат студенческий</t>
  </si>
  <si>
    <t>Компот из свежих груш</t>
  </si>
  <si>
    <t>Огурец соленый</t>
  </si>
  <si>
    <t xml:space="preserve">Меню: День первый. Возрастная категория 7 - 11 лет </t>
  </si>
  <si>
    <t xml:space="preserve">Меню: День второй. Возрастная категория 7 - 11 лет </t>
  </si>
  <si>
    <t xml:space="preserve">Меню: День третий. Возрастная категория 7 - 11 лет </t>
  </si>
  <si>
    <t xml:space="preserve">Меню: День четвертый. Возрастная категория 7 - 11 лет </t>
  </si>
  <si>
    <t xml:space="preserve">Меню: День пятый. Возрастная категория 7 - 11 лет </t>
  </si>
  <si>
    <t xml:space="preserve">Меню: День шестой. Возрастная категория 7 - 11 лет </t>
  </si>
  <si>
    <t xml:space="preserve">Меню: День седьмой. Возрастная категория 7 - 11 лет </t>
  </si>
  <si>
    <t xml:space="preserve">Меню: День восьмой. Возрастная категория 7 - 11 лет </t>
  </si>
  <si>
    <t xml:space="preserve">Меню: День девятый. Возрастная категория 7 - 11 лет </t>
  </si>
  <si>
    <t xml:space="preserve">Меню: День десятый. Возрастная категория 7 - 11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</si>
</sst>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/>
    <xf numFmtId="2" fontId="0" fillId="0" borderId="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1" fillId="0" borderId="2" xfId="0" applyFont="1" applyBorder="1"/>
    <xf numFmtId="0" fontId="0" fillId="0" borderId="3" xfId="0" applyBorder="1"/>
    <xf numFmtId="2" fontId="0" fillId="0" borderId="3" xfId="0" applyNumberFormat="1" applyBorder="1"/>
    <xf numFmtId="2" fontId="0" fillId="0" borderId="4" xfId="0" applyNumberFormat="1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P14" sqref="P14"/>
    </sheetView>
  </sheetViews>
  <sheetFormatPr defaultRowHeight="14.4" x14ac:dyDescent="0.3"/>
  <cols>
    <col min="1" max="1" width="12.44140625" customWidth="1"/>
    <col min="2" max="2" width="22" customWidth="1"/>
    <col min="3" max="3" width="9" customWidth="1"/>
    <col min="4" max="4" width="11.109375" customWidth="1"/>
    <col min="5" max="5" width="10.44140625" customWidth="1"/>
    <col min="6" max="6" width="10.6640625" customWidth="1"/>
    <col min="7" max="7" width="13.6640625" customWidth="1"/>
    <col min="8" max="8" width="9.109375" customWidth="1"/>
    <col min="9" max="9" width="8.6640625" customWidth="1"/>
  </cols>
  <sheetData>
    <row r="1" spans="1:15" ht="23.1" customHeight="1" x14ac:dyDescent="0.3">
      <c r="A1" s="54" t="s">
        <v>105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" thickBot="1" x14ac:dyDescent="0.35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55.95" customHeight="1" thickBot="1" x14ac:dyDescent="0.35">
      <c r="A3" s="1" t="s">
        <v>0</v>
      </c>
      <c r="B3" s="2" t="s">
        <v>3</v>
      </c>
      <c r="C3" s="3" t="s">
        <v>4</v>
      </c>
      <c r="D3" s="59" t="s">
        <v>5</v>
      </c>
      <c r="E3" s="59"/>
      <c r="F3" s="59"/>
      <c r="G3" s="3" t="s">
        <v>6</v>
      </c>
      <c r="H3" s="59" t="s">
        <v>7</v>
      </c>
      <c r="I3" s="59"/>
      <c r="J3" s="59"/>
      <c r="K3" s="59"/>
      <c r="L3" s="60" t="s">
        <v>8</v>
      </c>
      <c r="M3" s="59"/>
      <c r="N3" s="59"/>
      <c r="O3" s="61"/>
    </row>
    <row r="4" spans="1:15" x14ac:dyDescent="0.3">
      <c r="A4" s="4" t="s">
        <v>1</v>
      </c>
      <c r="B4" s="32"/>
      <c r="C4" s="33"/>
      <c r="D4" s="33" t="s">
        <v>9</v>
      </c>
      <c r="E4" s="33" t="s">
        <v>10</v>
      </c>
      <c r="F4" s="33" t="s">
        <v>11</v>
      </c>
      <c r="G4" s="33"/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1" t="s">
        <v>19</v>
      </c>
    </row>
    <row r="5" spans="1:15" ht="28.8" x14ac:dyDescent="0.3">
      <c r="A5" s="5">
        <v>323</v>
      </c>
      <c r="B5" s="38" t="s">
        <v>20</v>
      </c>
      <c r="C5" s="34">
        <v>200</v>
      </c>
      <c r="D5" s="16">
        <f>5.14*((100/150)*C5)/100</f>
        <v>6.8533333333333317</v>
      </c>
      <c r="E5" s="16">
        <f>9.6*((100/150)*C5)/100</f>
        <v>12.799999999999997</v>
      </c>
      <c r="F5" s="16">
        <f>31.85*((100/150)*C5)/100</f>
        <v>42.466666666666661</v>
      </c>
      <c r="G5" s="16">
        <f>258.5*((100/150)*C5)/100</f>
        <v>344.66666666666663</v>
      </c>
      <c r="H5" s="16">
        <f>0.13*((100/150)*C5)/100</f>
        <v>0.17333333333333331</v>
      </c>
      <c r="I5" s="16">
        <f>0.9*((100/150)*C5)/100</f>
        <v>1.2</v>
      </c>
      <c r="J5" s="16">
        <f>0.05*((100/150)*C5)/100</f>
        <v>6.6666666666666666E-2</v>
      </c>
      <c r="K5" s="16">
        <f>0.05*((100/150)*C5)/100</f>
        <v>6.6666666666666666E-2</v>
      </c>
      <c r="L5" s="16">
        <f>146.84*((100/150)*C5)/100</f>
        <v>195.78666666666663</v>
      </c>
      <c r="M5" s="20">
        <f>148.16*((100/150)*C5)/100</f>
        <v>197.54666666666665</v>
      </c>
      <c r="N5" s="20">
        <f>30.92*((100/150)*C5)/100</f>
        <v>41.226666666666659</v>
      </c>
      <c r="O5" s="17">
        <f>0.7*((100/150)*C5)/100</f>
        <v>0.93333333333333313</v>
      </c>
    </row>
    <row r="6" spans="1:15" ht="30" customHeight="1" x14ac:dyDescent="0.3">
      <c r="A6" s="5">
        <v>45</v>
      </c>
      <c r="B6" s="38" t="s">
        <v>79</v>
      </c>
      <c r="C6" s="34">
        <v>100</v>
      </c>
      <c r="D6" s="16">
        <f>0.86*((100/60)*C6)/100</f>
        <v>1.4333333333333333</v>
      </c>
      <c r="E6" s="16">
        <f>3*((100/60)*C6)/100</f>
        <v>5.0000000000000009</v>
      </c>
      <c r="F6" s="16">
        <f>20.6*((100/60)*C6)/100</f>
        <v>34.333333333333343</v>
      </c>
      <c r="G6" s="16">
        <f>128.6*((100/60)*C6)/100</f>
        <v>214.33333333333337</v>
      </c>
      <c r="H6" s="16">
        <f>0.02*((100/60)*C6)/100</f>
        <v>3.333333333333334E-2</v>
      </c>
      <c r="I6" s="16">
        <f>26*((100/60)*C6)/100</f>
        <v>43.333333333333343</v>
      </c>
      <c r="J6" s="16">
        <f>0*((100/60)*C6)/100</f>
        <v>0</v>
      </c>
      <c r="K6" s="16">
        <f>0.2*((100/60)*C6)/100</f>
        <v>0.33333333333333337</v>
      </c>
      <c r="L6" s="16">
        <f>32*((100/60)*C6)/100</f>
        <v>53.333333333333343</v>
      </c>
      <c r="M6" s="16">
        <f>32*((100/60)*C6)/100</f>
        <v>53.333333333333343</v>
      </c>
      <c r="N6" s="16">
        <f>18*((100/60)*C6)/100</f>
        <v>30.000000000000004</v>
      </c>
      <c r="O6" s="17">
        <f>1.1*((100/60)*C6)/100</f>
        <v>1.8333333333333337</v>
      </c>
    </row>
    <row r="7" spans="1:15" x14ac:dyDescent="0.3">
      <c r="A7" s="14">
        <v>433</v>
      </c>
      <c r="B7" s="40" t="s">
        <v>28</v>
      </c>
      <c r="C7" s="13">
        <v>200</v>
      </c>
      <c r="D7" s="21">
        <f>0.2*((100/200)*C7)/100</f>
        <v>0.2</v>
      </c>
      <c r="E7" s="21">
        <f>0.05*((100/200)*C7)/100</f>
        <v>0.05</v>
      </c>
      <c r="F7" s="21">
        <f>15.01*((100/200)*C7)/100</f>
        <v>15.01</v>
      </c>
      <c r="G7" s="21">
        <f>46*((100/200)*C7)/100</f>
        <v>46</v>
      </c>
      <c r="H7" s="21">
        <f>0*((100/200)*C7)/100</f>
        <v>0</v>
      </c>
      <c r="I7" s="21">
        <f>0.1*((100/200)*C7)/100</f>
        <v>0.1</v>
      </c>
      <c r="J7" s="21">
        <f>0*((100/200)*C7)/100</f>
        <v>0</v>
      </c>
      <c r="K7" s="21">
        <f>0*((100/200)*C7)/100</f>
        <v>0</v>
      </c>
      <c r="L7" s="21">
        <f>5.25*((100/200)*C7)/100</f>
        <v>5.25</v>
      </c>
      <c r="M7" s="21">
        <f>8.24*((100/200)*C7)/100</f>
        <v>8.24</v>
      </c>
      <c r="N7" s="21">
        <f>4.4*((100/200)*C7)/100</f>
        <v>4.4000000000000004</v>
      </c>
      <c r="O7" s="22">
        <f>0.86*((100/200)*C7)/100</f>
        <v>0.86</v>
      </c>
    </row>
    <row r="8" spans="1:15" x14ac:dyDescent="0.3">
      <c r="A8" s="5"/>
      <c r="B8" s="30" t="s">
        <v>29</v>
      </c>
      <c r="C8" s="34">
        <v>50</v>
      </c>
      <c r="D8" s="16">
        <f>5.72*((100/40)*C8)/100</f>
        <v>7.15</v>
      </c>
      <c r="E8" s="16">
        <f>3.26*((100/40)*C8)/100</f>
        <v>4.0750000000000002</v>
      </c>
      <c r="F8" s="16">
        <f>14.56*((100/40)*C8)/100</f>
        <v>18.2</v>
      </c>
      <c r="G8" s="16">
        <f>67.56*((100/40)*C8)/100</f>
        <v>84.45</v>
      </c>
      <c r="H8" s="16">
        <f>0.021*((100/40)*C8)/100</f>
        <v>2.6249999999999999E-2</v>
      </c>
      <c r="I8" s="16">
        <f>2.248*((100/40)*C8)/100</f>
        <v>2.81</v>
      </c>
      <c r="J8" s="16">
        <f>2.28*((100/40)*C8)/100</f>
        <v>2.85</v>
      </c>
      <c r="K8" s="16">
        <f>0*((100/40)*C8)/100</f>
        <v>0</v>
      </c>
      <c r="L8" s="16">
        <f>7.84*((100/40)*C8)/100</f>
        <v>9.8000000000000007</v>
      </c>
      <c r="M8" s="16">
        <f>7.676*((100/40)*C8)/100</f>
        <v>9.5950000000000006</v>
      </c>
      <c r="N8" s="16">
        <f>3.692*((100/40)*C8)/100</f>
        <v>4.6150000000000002</v>
      </c>
      <c r="O8" s="17">
        <f>0.12*((100/40)*C8)/100</f>
        <v>0.15</v>
      </c>
    </row>
    <row r="9" spans="1:15" ht="15" thickBot="1" x14ac:dyDescent="0.35">
      <c r="A9" s="6" t="s">
        <v>2</v>
      </c>
      <c r="B9" s="35" t="s">
        <v>83</v>
      </c>
      <c r="C9" s="7"/>
      <c r="D9" s="18">
        <f>SUM(D5:D8)</f>
        <v>15.636666666666665</v>
      </c>
      <c r="E9" s="18">
        <f t="shared" ref="E9:O9" si="0">SUM(E5:E8)</f>
        <v>21.924999999999997</v>
      </c>
      <c r="F9" s="18">
        <f t="shared" si="0"/>
        <v>110.01000000000002</v>
      </c>
      <c r="G9" s="18">
        <f t="shared" si="0"/>
        <v>689.45</v>
      </c>
      <c r="H9" s="18">
        <f t="shared" si="0"/>
        <v>0.23291666666666666</v>
      </c>
      <c r="I9" s="18">
        <f t="shared" si="0"/>
        <v>47.443333333333349</v>
      </c>
      <c r="J9" s="18">
        <f t="shared" si="0"/>
        <v>2.916666666666667</v>
      </c>
      <c r="K9" s="18">
        <f t="shared" si="0"/>
        <v>0.4</v>
      </c>
      <c r="L9" s="18">
        <f t="shared" si="0"/>
        <v>264.16999999999996</v>
      </c>
      <c r="M9" s="18">
        <f t="shared" si="0"/>
        <v>268.71500000000003</v>
      </c>
      <c r="N9" s="18">
        <f t="shared" si="0"/>
        <v>80.24166666666666</v>
      </c>
      <c r="O9" s="19">
        <f t="shared" si="0"/>
        <v>3.7766666666666664</v>
      </c>
    </row>
    <row r="11" spans="1:15" ht="15" thickBot="1" x14ac:dyDescent="0.35">
      <c r="A11" s="55" t="s">
        <v>23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43.8" thickBot="1" x14ac:dyDescent="0.35">
      <c r="A12" s="10" t="s">
        <v>0</v>
      </c>
      <c r="B12" s="11" t="s">
        <v>3</v>
      </c>
      <c r="C12" s="12" t="s">
        <v>4</v>
      </c>
      <c r="D12" s="56" t="s">
        <v>5</v>
      </c>
      <c r="E12" s="56"/>
      <c r="F12" s="56"/>
      <c r="G12" s="12" t="s">
        <v>6</v>
      </c>
      <c r="H12" s="56" t="s">
        <v>7</v>
      </c>
      <c r="I12" s="56"/>
      <c r="J12" s="56"/>
      <c r="K12" s="56"/>
      <c r="L12" s="57" t="s">
        <v>8</v>
      </c>
      <c r="M12" s="56"/>
      <c r="N12" s="56"/>
      <c r="O12" s="58"/>
    </row>
    <row r="13" spans="1:15" x14ac:dyDescent="0.3">
      <c r="A13" s="4" t="s">
        <v>1</v>
      </c>
      <c r="B13" s="32"/>
      <c r="C13" s="33"/>
      <c r="D13" s="33" t="s">
        <v>9</v>
      </c>
      <c r="E13" s="33" t="s">
        <v>10</v>
      </c>
      <c r="F13" s="33" t="s">
        <v>11</v>
      </c>
      <c r="G13" s="33"/>
      <c r="H13" s="33" t="s">
        <v>12</v>
      </c>
      <c r="I13" s="33" t="s">
        <v>13</v>
      </c>
      <c r="J13" s="33" t="s">
        <v>14</v>
      </c>
      <c r="K13" s="33" t="s">
        <v>15</v>
      </c>
      <c r="L13" s="33" t="s">
        <v>16</v>
      </c>
      <c r="M13" s="33" t="s">
        <v>17</v>
      </c>
      <c r="N13" s="33" t="s">
        <v>18</v>
      </c>
      <c r="O13" s="31" t="s">
        <v>19</v>
      </c>
    </row>
    <row r="14" spans="1:15" x14ac:dyDescent="0.3">
      <c r="A14" s="5">
        <v>17</v>
      </c>
      <c r="B14" s="38" t="s">
        <v>24</v>
      </c>
      <c r="C14" s="34">
        <v>100</v>
      </c>
      <c r="D14" s="16">
        <f>0.97*((100/60)*C14)/100</f>
        <v>1.6166666666666669</v>
      </c>
      <c r="E14" s="16">
        <f>7.09*((100/60)*C14)/100</f>
        <v>11.816666666666668</v>
      </c>
      <c r="F14" s="16">
        <f>4.71*((100/60)*C14)/100</f>
        <v>7.8500000000000014</v>
      </c>
      <c r="G14" s="16">
        <f>118*((100/60)*C14)/100</f>
        <v>196.66666666666669</v>
      </c>
      <c r="H14" s="16">
        <f>0.02*((100/60)*C14)/100</f>
        <v>3.333333333333334E-2</v>
      </c>
      <c r="I14" s="16">
        <f>4.03*((100/60)*C14)/100</f>
        <v>6.7166666666666677</v>
      </c>
      <c r="J14" s="16">
        <f>0.27*((100/60)*C14)/100</f>
        <v>0.45000000000000007</v>
      </c>
      <c r="K14" s="16">
        <f>0*((100/60)*C14)/100</f>
        <v>0</v>
      </c>
      <c r="L14" s="16">
        <f>16.87*((100/60)*C14)/100</f>
        <v>28.116666666666671</v>
      </c>
      <c r="M14" s="16">
        <f>25.95*((100/60)*C14)/100</f>
        <v>43.25</v>
      </c>
      <c r="N14" s="16">
        <f>10.28*((100/60)*C14)/100</f>
        <v>17.133333333333336</v>
      </c>
      <c r="O14" s="17">
        <f>1.01*((100/60)*C14)/100</f>
        <v>1.6833333333333333</v>
      </c>
    </row>
    <row r="15" spans="1:15" x14ac:dyDescent="0.3">
      <c r="A15" s="5">
        <v>118</v>
      </c>
      <c r="B15" s="30" t="s">
        <v>25</v>
      </c>
      <c r="C15" s="34">
        <v>250</v>
      </c>
      <c r="D15" s="16">
        <f>4.48*((100/250)*C15)/100</f>
        <v>4.4800000000000004</v>
      </c>
      <c r="E15" s="16">
        <f>4.74*((100/250)*C15)/100</f>
        <v>4.74</v>
      </c>
      <c r="F15" s="16">
        <f>19.74*((100/250)*C15)/100</f>
        <v>19.739999999999998</v>
      </c>
      <c r="G15" s="16">
        <f>146*((100/250)*C15)/100</f>
        <v>146</v>
      </c>
      <c r="H15" s="16">
        <f>0.13*((100/250)*C15)/100</f>
        <v>0.13</v>
      </c>
      <c r="I15" s="16">
        <f>1.525*((100/250)*C15)/100</f>
        <v>1.5249999999999999</v>
      </c>
      <c r="J15" s="16">
        <f>0*((100/250)*C15)/100</f>
        <v>0</v>
      </c>
      <c r="K15" s="16">
        <f>0.02*((100/250)*C15)/100</f>
        <v>0.02</v>
      </c>
      <c r="L15" s="16">
        <f>43.84*((100/250)*C15)/100</f>
        <v>43.84</v>
      </c>
      <c r="M15" s="16">
        <f>109.42*((100/250)*C15)/100</f>
        <v>109.42</v>
      </c>
      <c r="N15" s="16">
        <f>10.3*((100/250)*C15)/100</f>
        <v>10.3</v>
      </c>
      <c r="O15" s="17">
        <f>1.02*((100/250)*C15)/100</f>
        <v>1.02</v>
      </c>
    </row>
    <row r="16" spans="1:15" x14ac:dyDescent="0.3">
      <c r="A16" s="5">
        <v>152</v>
      </c>
      <c r="B16" s="38" t="s">
        <v>26</v>
      </c>
      <c r="C16" s="34">
        <v>100</v>
      </c>
      <c r="D16" s="16">
        <f>1.648*((100/80)*C16)/100</f>
        <v>2.06</v>
      </c>
      <c r="E16" s="16">
        <f>8.992*((100/80)*C16)/100</f>
        <v>11.24</v>
      </c>
      <c r="F16" s="16">
        <f>7.184*((100/80)*C16)/100</f>
        <v>8.98</v>
      </c>
      <c r="G16" s="16">
        <f>156.8*((100/80)*C16)/100</f>
        <v>196</v>
      </c>
      <c r="H16" s="16">
        <f>0.03*((100/80)*C16)/100</f>
        <v>3.7499999999999999E-2</v>
      </c>
      <c r="I16" s="16">
        <f>0*((100/80)*C16)/100</f>
        <v>0</v>
      </c>
      <c r="J16" s="16">
        <f>0*((100/80)*C16)/100</f>
        <v>0</v>
      </c>
      <c r="K16" s="16">
        <f>0.016*((100/80)*C16)/100</f>
        <v>0.02</v>
      </c>
      <c r="L16" s="16">
        <f>11.232*((100/80)*C16)/100</f>
        <v>14.04</v>
      </c>
      <c r="M16" s="16">
        <f>109.344*((100/80)*C16)/100</f>
        <v>136.68</v>
      </c>
      <c r="N16" s="16">
        <f>20.288*((100/80)*C16)/100</f>
        <v>25.36</v>
      </c>
      <c r="O16" s="17">
        <f>0.96*((100/80)*C16)/100</f>
        <v>1.2</v>
      </c>
    </row>
    <row r="17" spans="1:15" x14ac:dyDescent="0.3">
      <c r="A17" s="5">
        <v>447</v>
      </c>
      <c r="B17" s="30" t="s">
        <v>27</v>
      </c>
      <c r="C17" s="34">
        <v>180</v>
      </c>
      <c r="D17" s="16">
        <f>5.48*((100/150)*C17)/100</f>
        <v>6.5760000000000005</v>
      </c>
      <c r="E17" s="16">
        <f>4.98*((100/150)*C17)/100</f>
        <v>5.976</v>
      </c>
      <c r="F17" s="16">
        <f>44.88*((100/150)*C17)/100</f>
        <v>53.856000000000002</v>
      </c>
      <c r="G17" s="16">
        <f>211.5*((100/150)*C17)/100</f>
        <v>253.8</v>
      </c>
      <c r="H17" s="16">
        <f>0.11*((100/150)*C17)/100</f>
        <v>0.13200000000000001</v>
      </c>
      <c r="I17" s="16">
        <f>0*((100/150)*C17)/100</f>
        <v>0</v>
      </c>
      <c r="J17" s="16">
        <f>1.2*((100/150)*C17)/100</f>
        <v>1.44</v>
      </c>
      <c r="K17" s="16">
        <f>0.03*((100/150)*C17)/100</f>
        <v>3.5999999999999997E-2</v>
      </c>
      <c r="L17" s="16">
        <f>54.95*((100/150)*C17)/100</f>
        <v>65.94</v>
      </c>
      <c r="M17" s="16">
        <f>90.06*((100/150)*C17)/100</f>
        <v>108.072</v>
      </c>
      <c r="N17" s="16">
        <f>24.59*((100/150)*C17)/100</f>
        <v>29.508000000000003</v>
      </c>
      <c r="O17" s="17">
        <f>0.99*((100/150)*C17)/100</f>
        <v>1.1879999999999999</v>
      </c>
    </row>
    <row r="18" spans="1:15" x14ac:dyDescent="0.3">
      <c r="A18" s="5">
        <v>383</v>
      </c>
      <c r="B18" s="38" t="s">
        <v>21</v>
      </c>
      <c r="C18" s="34">
        <v>200</v>
      </c>
      <c r="D18" s="16">
        <v>0</v>
      </c>
      <c r="E18" s="16">
        <f>0*((100/200)*C18)/100</f>
        <v>0</v>
      </c>
      <c r="F18" s="16">
        <f>9.98*((100/200)*C18)/100</f>
        <v>9.98</v>
      </c>
      <c r="G18" s="16">
        <f>57*((100/200)*C18)/100</f>
        <v>57</v>
      </c>
      <c r="H18" s="16">
        <f>0*((100/200)*C18)/100</f>
        <v>0</v>
      </c>
      <c r="I18" s="16">
        <f>18.1*((100/200)*C18)/100</f>
        <v>18.100000000000001</v>
      </c>
      <c r="J18" s="16">
        <f>0*((100/200)*C18)/100</f>
        <v>0</v>
      </c>
      <c r="K18" s="16">
        <f>0*((100/200)*C18)/100</f>
        <v>0</v>
      </c>
      <c r="L18" s="16">
        <f>5.25*((100/200)*C18)/100</f>
        <v>5.25</v>
      </c>
      <c r="M18" s="16">
        <f>8.24*((100/200)*C18)/100</f>
        <v>8.24</v>
      </c>
      <c r="N18" s="16">
        <f>4.4*((100/200)*C18)/100</f>
        <v>4.4000000000000004</v>
      </c>
      <c r="O18" s="17">
        <f>0.26*((100/200)*C18)/100</f>
        <v>0.26</v>
      </c>
    </row>
    <row r="19" spans="1:15" x14ac:dyDescent="0.3">
      <c r="A19" s="15"/>
      <c r="B19" s="39" t="s">
        <v>29</v>
      </c>
      <c r="C19" s="13">
        <v>40</v>
      </c>
      <c r="D19" s="21">
        <f>7.15*((100/50)*C19)/100</f>
        <v>5.72</v>
      </c>
      <c r="E19" s="21">
        <f>4.075*((100/50)*C19)/100</f>
        <v>3.26</v>
      </c>
      <c r="F19" s="21">
        <f>18.2*((100/50)*C19)/100</f>
        <v>14.56</v>
      </c>
      <c r="G19" s="21">
        <f>84.45*((100/50)*C19)/100</f>
        <v>67.56</v>
      </c>
      <c r="H19" s="21">
        <f>0.03*((100/50)*C19)/100</f>
        <v>2.4E-2</v>
      </c>
      <c r="I19" s="21">
        <f>3.56*((100/50)*C19)/100</f>
        <v>2.8480000000000003</v>
      </c>
      <c r="J19" s="21">
        <f>1.52*((100/50)*C19)/100</f>
        <v>1.216</v>
      </c>
      <c r="K19" s="21">
        <f>0*((100/50)*C19)/100</f>
        <v>0</v>
      </c>
      <c r="L19" s="21">
        <f>9.8*((100/50)*C19)/100</f>
        <v>7.84</v>
      </c>
      <c r="M19" s="21">
        <f>35.6*((100/50)*C19)/100</f>
        <v>28.48</v>
      </c>
      <c r="N19" s="21">
        <f>3.9*((100/50)*C19)/100</f>
        <v>3.12</v>
      </c>
      <c r="O19" s="22">
        <f>0.16*((100/50)*C19)/100</f>
        <v>0.128</v>
      </c>
    </row>
    <row r="20" spans="1:15" x14ac:dyDescent="0.3">
      <c r="A20" s="15"/>
      <c r="B20" s="40" t="s">
        <v>30</v>
      </c>
      <c r="C20" s="13">
        <v>50</v>
      </c>
      <c r="D20" s="21">
        <f>1.432*((100/40)*C20)/100</f>
        <v>1.79</v>
      </c>
      <c r="E20" s="21">
        <f>0.336*((100/40)*C20)/100</f>
        <v>0.42</v>
      </c>
      <c r="F20" s="21">
        <f>16.92*((100/40)*C20)/100</f>
        <v>21.15</v>
      </c>
      <c r="G20" s="21">
        <f>77.04*((100/40)*C20)/100</f>
        <v>96.3</v>
      </c>
      <c r="H20" s="21">
        <f>0.06*((100/40)*C20)/100</f>
        <v>7.4999999999999997E-2</v>
      </c>
      <c r="I20" s="16">
        <f>0*((100/40)*C20)/100</f>
        <v>0</v>
      </c>
      <c r="J20" s="21">
        <f>1.52*((100/40)*C20)/100</f>
        <v>1.9</v>
      </c>
      <c r="K20" s="16">
        <f>0*((100/40)*C20)/100</f>
        <v>0</v>
      </c>
      <c r="L20" s="21">
        <f>14.4*((100/40)*C20)/100</f>
        <v>18</v>
      </c>
      <c r="M20" s="21">
        <f>0.872*((100/40)*C20)/100</f>
        <v>1.0900000000000001</v>
      </c>
      <c r="N20" s="21">
        <f>8.92*((100/40)*C20)/100</f>
        <v>11.15</v>
      </c>
      <c r="O20" s="22">
        <f>0.36*((100/40)*C20)/100</f>
        <v>0.45</v>
      </c>
    </row>
    <row r="21" spans="1:15" ht="15" thickBot="1" x14ac:dyDescent="0.35">
      <c r="A21" s="6" t="s">
        <v>2</v>
      </c>
      <c r="B21" s="35"/>
      <c r="C21" s="7"/>
      <c r="D21" s="18">
        <f>SUM(D14:D20)</f>
        <v>22.242666666666668</v>
      </c>
      <c r="E21" s="18">
        <f t="shared" ref="E21:O21" si="1">SUM(E14:E20)</f>
        <v>37.452666666666666</v>
      </c>
      <c r="F21" s="18">
        <f t="shared" si="1"/>
        <v>136.11600000000001</v>
      </c>
      <c r="G21" s="18">
        <f t="shared" si="1"/>
        <v>1013.3266666666666</v>
      </c>
      <c r="H21" s="18">
        <f t="shared" si="1"/>
        <v>0.43183333333333335</v>
      </c>
      <c r="I21" s="18">
        <f t="shared" si="1"/>
        <v>29.189666666666668</v>
      </c>
      <c r="J21" s="18">
        <f t="shared" si="1"/>
        <v>5.0060000000000002</v>
      </c>
      <c r="K21" s="18">
        <f t="shared" si="1"/>
        <v>7.5999999999999998E-2</v>
      </c>
      <c r="L21" s="18">
        <f t="shared" si="1"/>
        <v>183.02666666666667</v>
      </c>
      <c r="M21" s="18">
        <f t="shared" si="1"/>
        <v>435.23200000000003</v>
      </c>
      <c r="N21" s="18">
        <f t="shared" si="1"/>
        <v>100.97133333333335</v>
      </c>
      <c r="O21" s="19">
        <f t="shared" si="1"/>
        <v>5.9293333333333331</v>
      </c>
    </row>
    <row r="23" spans="1:15" ht="15" thickBot="1" x14ac:dyDescent="0.35"/>
    <row r="24" spans="1:15" ht="15" thickBot="1" x14ac:dyDescent="0.35">
      <c r="A24" s="41" t="s">
        <v>80</v>
      </c>
      <c r="B24" s="42"/>
      <c r="C24" s="42"/>
      <c r="D24" s="43">
        <f>D9+D21</f>
        <v>37.879333333333335</v>
      </c>
      <c r="E24" s="43">
        <f t="shared" ref="E24:O24" si="2">E9+E21</f>
        <v>59.377666666666663</v>
      </c>
      <c r="F24" s="43">
        <f t="shared" si="2"/>
        <v>246.12600000000003</v>
      </c>
      <c r="G24" s="43">
        <f t="shared" si="2"/>
        <v>1702.7766666666666</v>
      </c>
      <c r="H24" s="43">
        <f t="shared" si="2"/>
        <v>0.66474999999999995</v>
      </c>
      <c r="I24" s="43">
        <f t="shared" si="2"/>
        <v>76.63300000000001</v>
      </c>
      <c r="J24" s="43">
        <f t="shared" si="2"/>
        <v>7.9226666666666672</v>
      </c>
      <c r="K24" s="43">
        <f t="shared" si="2"/>
        <v>0.47600000000000003</v>
      </c>
      <c r="L24" s="43">
        <f t="shared" si="2"/>
        <v>447.1966666666666</v>
      </c>
      <c r="M24" s="43">
        <f t="shared" si="2"/>
        <v>703.94700000000012</v>
      </c>
      <c r="N24" s="43">
        <f t="shared" si="2"/>
        <v>181.21300000000002</v>
      </c>
      <c r="O24" s="43">
        <f t="shared" si="2"/>
        <v>9.7059999999999995</v>
      </c>
    </row>
  </sheetData>
  <mergeCells count="9">
    <mergeCell ref="A1:O1"/>
    <mergeCell ref="A2:O2"/>
    <mergeCell ref="A11:O11"/>
    <mergeCell ref="D12:F12"/>
    <mergeCell ref="H12:K12"/>
    <mergeCell ref="L12:O12"/>
    <mergeCell ref="D3:F3"/>
    <mergeCell ref="H3:K3"/>
    <mergeCell ref="L3:O3"/>
  </mergeCells>
  <pageMargins left="0.31496062992125984" right="0.11811023622047245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C23" sqref="C23"/>
    </sheetView>
  </sheetViews>
  <sheetFormatPr defaultRowHeight="14.4" x14ac:dyDescent="0.3"/>
  <cols>
    <col min="1" max="1" width="10.5546875" customWidth="1"/>
    <col min="2" max="2" width="20.88671875" bestFit="1" customWidth="1"/>
  </cols>
  <sheetData>
    <row r="1" spans="1:15" x14ac:dyDescent="0.3">
      <c r="A1" s="54" t="s">
        <v>114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" thickBot="1" x14ac:dyDescent="0.35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58.2" thickBot="1" x14ac:dyDescent="0.35">
      <c r="A3" s="10" t="s">
        <v>0</v>
      </c>
      <c r="B3" s="11" t="s">
        <v>3</v>
      </c>
      <c r="C3" s="12" t="s">
        <v>4</v>
      </c>
      <c r="D3" s="62" t="s">
        <v>5</v>
      </c>
      <c r="E3" s="63"/>
      <c r="F3" s="64"/>
      <c r="G3" s="12" t="s">
        <v>6</v>
      </c>
      <c r="H3" s="62" t="s">
        <v>7</v>
      </c>
      <c r="I3" s="63"/>
      <c r="J3" s="63"/>
      <c r="K3" s="64"/>
      <c r="L3" s="65" t="s">
        <v>8</v>
      </c>
      <c r="M3" s="66"/>
      <c r="N3" s="66"/>
      <c r="O3" s="67"/>
    </row>
    <row r="4" spans="1:15" x14ac:dyDescent="0.3">
      <c r="A4" s="4" t="s">
        <v>1</v>
      </c>
      <c r="B4" s="32"/>
      <c r="C4" s="33"/>
      <c r="D4" s="33" t="s">
        <v>9</v>
      </c>
      <c r="E4" s="33" t="s">
        <v>10</v>
      </c>
      <c r="F4" s="33" t="s">
        <v>11</v>
      </c>
      <c r="G4" s="33"/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1" t="s">
        <v>19</v>
      </c>
    </row>
    <row r="5" spans="1:15" x14ac:dyDescent="0.3">
      <c r="A5" s="8">
        <v>321</v>
      </c>
      <c r="B5" s="51" t="s">
        <v>98</v>
      </c>
      <c r="C5" s="9">
        <v>200</v>
      </c>
      <c r="D5" s="25">
        <f>5.5*((100/150)*C5)/100</f>
        <v>7.3333333333333321</v>
      </c>
      <c r="E5" s="25">
        <f>4.75*((100/100)*C5)/100</f>
        <v>9.5</v>
      </c>
      <c r="F5" s="25">
        <f>23.9*((100/150)*C5)/100</f>
        <v>31.86666666666666</v>
      </c>
      <c r="G5" s="25">
        <f>213*((100/150)*C5)/100</f>
        <v>283.99999999999994</v>
      </c>
      <c r="H5" s="25">
        <f>0.24*((100/100)*C5)/100</f>
        <v>0.48</v>
      </c>
      <c r="I5" s="25">
        <f>1.3*((100/100)*C5)/100</f>
        <v>2.6</v>
      </c>
      <c r="J5" s="25">
        <f>0.24*((100/100)*C5)/100</f>
        <v>0.48</v>
      </c>
      <c r="K5" s="25">
        <f>0.02*((100/100)*C5)/100</f>
        <v>0.04</v>
      </c>
      <c r="L5" s="25">
        <f>131.26*((100/100)*C5)/100</f>
        <v>262.52</v>
      </c>
      <c r="M5" s="25">
        <f>230.35*((100/100)*C5)/100</f>
        <v>460.7</v>
      </c>
      <c r="N5" s="25">
        <f>108.31*((100/100)*C5)/100</f>
        <v>216.62</v>
      </c>
      <c r="O5" s="26">
        <f>3.23*((100/100)*C5)/100</f>
        <v>6.46</v>
      </c>
    </row>
    <row r="6" spans="1:15" x14ac:dyDescent="0.3">
      <c r="A6" s="5">
        <v>26</v>
      </c>
      <c r="B6" s="38" t="s">
        <v>95</v>
      </c>
      <c r="C6" s="23">
        <v>100</v>
      </c>
      <c r="D6" s="16">
        <f>0.69*((100/60)*C6)/100</f>
        <v>1.1499999999999999</v>
      </c>
      <c r="E6" s="16">
        <f>0.12*((100/60)*C6)/100</f>
        <v>0.2</v>
      </c>
      <c r="F6" s="16">
        <f>4.43*((100/60)*C6)/100</f>
        <v>7.3833333333333337</v>
      </c>
      <c r="G6" s="16">
        <f>22*((100/60)*C6)/100</f>
        <v>36.666666666666671</v>
      </c>
      <c r="H6" s="16">
        <f>0.02*((100/60)*C6)/100</f>
        <v>3.333333333333334E-2</v>
      </c>
      <c r="I6" s="16">
        <f>12*((100/60)*C6)/100</f>
        <v>20.000000000000004</v>
      </c>
      <c r="J6" s="16">
        <f>0.11*((100/60)*C6)/100</f>
        <v>0.18333333333333335</v>
      </c>
      <c r="K6" s="16">
        <f>0.03*((100/60)*C6)/100</f>
        <v>0.05</v>
      </c>
      <c r="L6" s="16">
        <f>31.5*((100/60)*C6)/100</f>
        <v>52.500000000000007</v>
      </c>
      <c r="M6" s="16">
        <f>27.54*((100/60)*C6)/100</f>
        <v>45.9</v>
      </c>
      <c r="N6" s="16">
        <f>10.5*((100/60)*C6)/100</f>
        <v>17.500000000000004</v>
      </c>
      <c r="O6" s="17">
        <f>0.77*((100/60)*C6)/100</f>
        <v>1.2833333333333334</v>
      </c>
    </row>
    <row r="7" spans="1:15" x14ac:dyDescent="0.3">
      <c r="A7" s="5">
        <v>426</v>
      </c>
      <c r="B7" s="38" t="s">
        <v>37</v>
      </c>
      <c r="C7" s="34">
        <v>200</v>
      </c>
      <c r="D7" s="16">
        <f>4.2*((100/200)*C7)/100</f>
        <v>4.2</v>
      </c>
      <c r="E7" s="16">
        <f>4.8*((100/200)*C7)/100</f>
        <v>4.8</v>
      </c>
      <c r="F7" s="16">
        <f>7.05*((100/200)*C7)/100</f>
        <v>7.05</v>
      </c>
      <c r="G7" s="16">
        <f>87*((100/200)*C7)/100</f>
        <v>87</v>
      </c>
      <c r="H7" s="16">
        <f>0.06*((100/200)*C7)/100</f>
        <v>0.06</v>
      </c>
      <c r="I7" s="16">
        <f>1.095*((100/200)*C7)/100</f>
        <v>1.095</v>
      </c>
      <c r="J7" s="16">
        <f>0*((100/200)*C7)/100</f>
        <v>0</v>
      </c>
      <c r="K7" s="16">
        <f>0.03*((100/200)*C7)/100</f>
        <v>0.03</v>
      </c>
      <c r="L7" s="16">
        <f>160*((100/200)*C7)/100</f>
        <v>160</v>
      </c>
      <c r="M7" s="16">
        <f>135*((100/200)*C7)/100</f>
        <v>135</v>
      </c>
      <c r="N7" s="16">
        <f>11*((100/200)*C7)/100</f>
        <v>11</v>
      </c>
      <c r="O7" s="17">
        <f>0.09*((100/200)*C7)/100</f>
        <v>0.09</v>
      </c>
    </row>
    <row r="8" spans="1:15" x14ac:dyDescent="0.3">
      <c r="A8" s="5"/>
      <c r="B8" s="30" t="s">
        <v>29</v>
      </c>
      <c r="C8" s="23">
        <v>50</v>
      </c>
      <c r="D8" s="16">
        <f>5.72*((100/40)*C8)/100</f>
        <v>7.15</v>
      </c>
      <c r="E8" s="16">
        <f>3.26*((100/40)*C8)/100</f>
        <v>4.0750000000000002</v>
      </c>
      <c r="F8" s="16">
        <f>14.56*((100/40)*C8)/100</f>
        <v>18.2</v>
      </c>
      <c r="G8" s="16">
        <f>67.56*((100/40)*C8)/100</f>
        <v>84.45</v>
      </c>
      <c r="H8" s="16">
        <f>0.028*((100/40)*C8)/100</f>
        <v>3.5000000000000003E-2</v>
      </c>
      <c r="I8" s="16">
        <f>2.248*((100/40)*C8)/100</f>
        <v>2.81</v>
      </c>
      <c r="J8" s="16">
        <f>1.12*((100/40)*C8)/100</f>
        <v>1.4</v>
      </c>
      <c r="K8" s="16">
        <f>0*((100/40)*C8)/100</f>
        <v>0</v>
      </c>
      <c r="L8" s="16">
        <f>7.84*((100/40)*C8)/100</f>
        <v>9.8000000000000007</v>
      </c>
      <c r="M8" s="16">
        <f>7.676*((100/40)*C8)/100</f>
        <v>9.5950000000000006</v>
      </c>
      <c r="N8" s="16">
        <f>3.692*((100/40)*C8)/100</f>
        <v>4.6150000000000002</v>
      </c>
      <c r="O8" s="17">
        <f>0.81*((100/40)*C8)/100</f>
        <v>1.0125</v>
      </c>
    </row>
    <row r="9" spans="1:15" x14ac:dyDescent="0.3">
      <c r="A9" s="28"/>
      <c r="B9" s="39" t="s">
        <v>82</v>
      </c>
      <c r="C9" s="13">
        <v>30</v>
      </c>
      <c r="D9" s="34">
        <f>6.9*((100/30)*C9)/100</f>
        <v>6.9</v>
      </c>
      <c r="E9" s="34">
        <f>8.7*((100/30)*C9)/100</f>
        <v>8.6999999999999993</v>
      </c>
      <c r="F9" s="34">
        <f>0*((100/30)*C9)/100</f>
        <v>0</v>
      </c>
      <c r="G9" s="34">
        <f>108*((100/30)*C9)/100</f>
        <v>108</v>
      </c>
      <c r="H9" s="29">
        <f>0.01*((100/30)*C9)/100</f>
        <v>0.01</v>
      </c>
      <c r="I9" s="29">
        <f>0.48*((100/30)*C9)/100</f>
        <v>0.48</v>
      </c>
      <c r="J9" s="29">
        <f>0.09*((100/30)*C9)/100</f>
        <v>0.09</v>
      </c>
      <c r="K9" s="29">
        <f>0.07*((100/30)*C9)/100</f>
        <v>7.0000000000000007E-2</v>
      </c>
      <c r="L9" s="29">
        <f>300*((100/30)*C9)/100</f>
        <v>300</v>
      </c>
      <c r="M9" s="29">
        <f>162*((100/30)*C9)/100</f>
        <v>162</v>
      </c>
      <c r="N9" s="29">
        <f>15*((100/30)*C9)/100</f>
        <v>15</v>
      </c>
      <c r="O9" s="53">
        <f>0.33*((100/30)*C9)/100</f>
        <v>0.33</v>
      </c>
    </row>
    <row r="10" spans="1:15" ht="15" thickBot="1" x14ac:dyDescent="0.35">
      <c r="A10" s="6" t="s">
        <v>2</v>
      </c>
      <c r="B10" s="35"/>
      <c r="C10" s="7"/>
      <c r="D10" s="18">
        <f>SUM(D5:D8)</f>
        <v>19.833333333333336</v>
      </c>
      <c r="E10" s="18">
        <f t="shared" ref="E10:O10" si="0">SUM(E5:E8)</f>
        <v>18.574999999999999</v>
      </c>
      <c r="F10" s="18">
        <f t="shared" si="0"/>
        <v>64.499999999999986</v>
      </c>
      <c r="G10" s="18">
        <f t="shared" si="0"/>
        <v>492.11666666666662</v>
      </c>
      <c r="H10" s="18">
        <f t="shared" si="0"/>
        <v>0.60833333333333328</v>
      </c>
      <c r="I10" s="18">
        <f t="shared" si="0"/>
        <v>26.505000000000003</v>
      </c>
      <c r="J10" s="18">
        <f t="shared" si="0"/>
        <v>2.0633333333333335</v>
      </c>
      <c r="K10" s="18">
        <f t="shared" si="0"/>
        <v>0.12</v>
      </c>
      <c r="L10" s="18">
        <f t="shared" si="0"/>
        <v>484.82</v>
      </c>
      <c r="M10" s="18">
        <f t="shared" si="0"/>
        <v>651.19499999999994</v>
      </c>
      <c r="N10" s="18">
        <f t="shared" si="0"/>
        <v>249.73500000000001</v>
      </c>
      <c r="O10" s="19">
        <f t="shared" si="0"/>
        <v>8.8458333333333332</v>
      </c>
    </row>
    <row r="12" spans="1:15" ht="15" thickBot="1" x14ac:dyDescent="0.35">
      <c r="A12" s="68" t="s">
        <v>23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</row>
    <row r="13" spans="1:15" ht="58.2" thickBot="1" x14ac:dyDescent="0.35">
      <c r="A13" s="10" t="s">
        <v>0</v>
      </c>
      <c r="B13" s="11" t="s">
        <v>3</v>
      </c>
      <c r="C13" s="12" t="s">
        <v>4</v>
      </c>
      <c r="D13" s="62" t="s">
        <v>5</v>
      </c>
      <c r="E13" s="63"/>
      <c r="F13" s="64"/>
      <c r="G13" s="12" t="s">
        <v>6</v>
      </c>
      <c r="H13" s="62" t="s">
        <v>7</v>
      </c>
      <c r="I13" s="63"/>
      <c r="J13" s="63"/>
      <c r="K13" s="64"/>
      <c r="L13" s="65" t="s">
        <v>8</v>
      </c>
      <c r="M13" s="66"/>
      <c r="N13" s="66"/>
      <c r="O13" s="67"/>
    </row>
    <row r="14" spans="1:15" x14ac:dyDescent="0.3">
      <c r="A14" s="4" t="s">
        <v>1</v>
      </c>
      <c r="B14" s="32"/>
      <c r="C14" s="33"/>
      <c r="D14" s="33" t="s">
        <v>9</v>
      </c>
      <c r="E14" s="33" t="s">
        <v>10</v>
      </c>
      <c r="F14" s="33" t="s">
        <v>11</v>
      </c>
      <c r="G14" s="33"/>
      <c r="H14" s="33" t="s">
        <v>12</v>
      </c>
      <c r="I14" s="33" t="s">
        <v>13</v>
      </c>
      <c r="J14" s="33" t="s">
        <v>14</v>
      </c>
      <c r="K14" s="33" t="s">
        <v>15</v>
      </c>
      <c r="L14" s="33" t="s">
        <v>16</v>
      </c>
      <c r="M14" s="33" t="s">
        <v>17</v>
      </c>
      <c r="N14" s="33" t="s">
        <v>18</v>
      </c>
      <c r="O14" s="31" t="s">
        <v>19</v>
      </c>
    </row>
    <row r="15" spans="1:15" ht="28.8" x14ac:dyDescent="0.3">
      <c r="A15" s="5">
        <v>143</v>
      </c>
      <c r="B15" s="38" t="s">
        <v>38</v>
      </c>
      <c r="C15" s="34">
        <v>250</v>
      </c>
      <c r="D15" s="16">
        <f>7.14*((100/250)*C15)/100</f>
        <v>7.14</v>
      </c>
      <c r="E15" s="16">
        <f>5.25*((100/250)*C15)/100</f>
        <v>5.25</v>
      </c>
      <c r="F15" s="16">
        <f>15.52*((100/250)*C15)/100</f>
        <v>15.52</v>
      </c>
      <c r="G15" s="16">
        <f>140*((100/250)*C15)/100</f>
        <v>140</v>
      </c>
      <c r="H15" s="16">
        <f>0.14*((100/250)*C15)/100</f>
        <v>0.14000000000000001</v>
      </c>
      <c r="I15" s="16">
        <f>22.35*((100/250)*C15)/100</f>
        <v>22.35</v>
      </c>
      <c r="J15" s="16">
        <f>0.12*((100/250)*C15)/100</f>
        <v>0.12</v>
      </c>
      <c r="K15" s="16">
        <f>0.03*((100/250)*C15)/100</f>
        <v>0.03</v>
      </c>
      <c r="L15" s="16">
        <f>23.77*((100/250)*C15)/100</f>
        <v>23.77</v>
      </c>
      <c r="M15" s="16">
        <f>113.39*((100/250)*C15)/100</f>
        <v>113.39</v>
      </c>
      <c r="N15" s="16">
        <f>34.67*((100/250)*C15)/100</f>
        <v>34.67</v>
      </c>
      <c r="O15" s="17">
        <f>1.42*((100/250)*C15)/100</f>
        <v>1.42</v>
      </c>
    </row>
    <row r="16" spans="1:15" x14ac:dyDescent="0.3">
      <c r="A16" s="5">
        <v>443</v>
      </c>
      <c r="B16" s="38" t="s">
        <v>46</v>
      </c>
      <c r="C16" s="34">
        <v>180</v>
      </c>
      <c r="D16" s="16">
        <f>3.24*((100/150)*C16)/100</f>
        <v>3.8879999999999999</v>
      </c>
      <c r="E16" s="16">
        <f>5.6*((100/150)*C16)/100</f>
        <v>6.72</v>
      </c>
      <c r="F16" s="16">
        <f>29.05*((100/150)*C16)/100</f>
        <v>34.86</v>
      </c>
      <c r="G16" s="16">
        <f>156*((100/150)*C16)/100</f>
        <v>187.2</v>
      </c>
      <c r="H16" s="16">
        <f>0.15*((100/150)*C16)/100</f>
        <v>0.18</v>
      </c>
      <c r="I16" s="16">
        <f>2.95*((100/150)*C16)/100</f>
        <v>3.54</v>
      </c>
      <c r="J16" s="16">
        <f>0.2*((100/150)*C16)/100</f>
        <v>0.24</v>
      </c>
      <c r="K16" s="16">
        <f>0.03*((100/150)*C16)/100</f>
        <v>3.5999999999999997E-2</v>
      </c>
      <c r="L16" s="16">
        <f>46*((100/150)*C16)/100</f>
        <v>55.2</v>
      </c>
      <c r="M16" s="16">
        <f>96.71*((100/150)*C16)/100</f>
        <v>116.05199999999999</v>
      </c>
      <c r="N16" s="16">
        <f>31.49*((100/150)*C16)/100</f>
        <v>37.787999999999997</v>
      </c>
      <c r="O16" s="17">
        <f>0.4*((100/150)*C16)/100</f>
        <v>0.48</v>
      </c>
    </row>
    <row r="17" spans="1:15" x14ac:dyDescent="0.3">
      <c r="A17" s="5">
        <v>235</v>
      </c>
      <c r="B17" s="30" t="s">
        <v>85</v>
      </c>
      <c r="C17" s="34">
        <v>100</v>
      </c>
      <c r="D17" s="16">
        <f>13.2*((100/80)*C17)/100</f>
        <v>16.5</v>
      </c>
      <c r="E17" s="16">
        <f>6.69*((100/80)*C17)/100</f>
        <v>8.3625000000000007</v>
      </c>
      <c r="F17" s="16">
        <f>3.42*((100/80)*C17)/100</f>
        <v>4.2750000000000004</v>
      </c>
      <c r="G17" s="16">
        <f>126.9*((100/80)*C17)/100</f>
        <v>158.625</v>
      </c>
      <c r="H17" s="16">
        <f>0.1*((100/100)*C17)/100</f>
        <v>0.1</v>
      </c>
      <c r="I17" s="16">
        <f>1.63*((100/100)*C17)/100</f>
        <v>1.63</v>
      </c>
      <c r="J17" s="16">
        <f>0*((100/100)*C17)/100</f>
        <v>0</v>
      </c>
      <c r="K17" s="16">
        <f>0.07*((100/100)*C17)/100</f>
        <v>7.0000000000000007E-2</v>
      </c>
      <c r="L17" s="16">
        <f>45.41*((100/100)*C17)/100</f>
        <v>45.41</v>
      </c>
      <c r="M17" s="16">
        <f>358.53*((100/100)*C17)/100</f>
        <v>358.53</v>
      </c>
      <c r="N17" s="16">
        <f>13.88*((100/100)*C17)/100</f>
        <v>13.88</v>
      </c>
      <c r="O17" s="17">
        <f>0.48*((100/100)*C17)/100</f>
        <v>0.48</v>
      </c>
    </row>
    <row r="18" spans="1:15" x14ac:dyDescent="0.3">
      <c r="A18" s="5"/>
      <c r="B18" s="38" t="s">
        <v>61</v>
      </c>
      <c r="C18" s="34">
        <v>200</v>
      </c>
      <c r="D18" s="16">
        <f>0.4*((100/200)*C18)/100</f>
        <v>0.4</v>
      </c>
      <c r="E18" s="16">
        <f>0*((100/200)*C18)/100</f>
        <v>0</v>
      </c>
      <c r="F18" s="16">
        <f>36.1*((100/200)*C18)/100</f>
        <v>36.1</v>
      </c>
      <c r="G18" s="16">
        <f>171.2*((100/200)*C18)/100</f>
        <v>171.2</v>
      </c>
      <c r="H18" s="16">
        <f>0*((100/200)*C18)/100</f>
        <v>0</v>
      </c>
      <c r="I18" s="16">
        <f>0*((100/200)*C18)/100</f>
        <v>0</v>
      </c>
      <c r="J18" s="16">
        <f>5.18*((100/200)*C18)/100</f>
        <v>5.18</v>
      </c>
      <c r="K18" s="16">
        <f>0.04*((100/200)*C18)/100</f>
        <v>0.04</v>
      </c>
      <c r="L18" s="16">
        <f>36.45*((100/200)*C18)/100</f>
        <v>36.450000000000003</v>
      </c>
      <c r="M18" s="16">
        <f>72.4*((100/200)*C18)/100</f>
        <v>72.400000000000006</v>
      </c>
      <c r="N18" s="16">
        <f>3.06*((100/200)*C18)/100</f>
        <v>3.06</v>
      </c>
      <c r="O18" s="17">
        <f>0.18*((100/200)*C18)/100</f>
        <v>0.18</v>
      </c>
    </row>
    <row r="19" spans="1:15" x14ac:dyDescent="0.3">
      <c r="A19" s="5">
        <v>13</v>
      </c>
      <c r="B19" s="38" t="s">
        <v>92</v>
      </c>
      <c r="C19" s="23">
        <v>60</v>
      </c>
      <c r="D19" s="16">
        <f>0.48*((100/60)*C19)/100</f>
        <v>0.48</v>
      </c>
      <c r="E19" s="16">
        <f>0.06*((100/60)*C19)/100</f>
        <v>0.06</v>
      </c>
      <c r="F19" s="16">
        <f>0.96*((100/60)*C19)/100</f>
        <v>0.96</v>
      </c>
      <c r="G19" s="16">
        <f>8*((100/60)*C19)/100</f>
        <v>8</v>
      </c>
      <c r="H19" s="21">
        <f>0.03*((100/60)*C19)/100</f>
        <v>0.03</v>
      </c>
      <c r="I19" s="21">
        <f>5.71*((100/60)*C19)/100</f>
        <v>5.71</v>
      </c>
      <c r="J19" s="21">
        <f>0.03*((100/60)*C19)/100</f>
        <v>0.03</v>
      </c>
      <c r="K19" s="21">
        <f>0*((100/60)*C19)/100</f>
        <v>0</v>
      </c>
      <c r="L19" s="21">
        <f>15.42*((100/60)*C19)/100</f>
        <v>15.42</v>
      </c>
      <c r="M19" s="21">
        <f>29.38*((100/60)*C19)/100</f>
        <v>29.38</v>
      </c>
      <c r="N19" s="21">
        <f>11.51*((100/60)*C19)/100</f>
        <v>11.51</v>
      </c>
      <c r="O19" s="22">
        <f>0.39*((100/60)*C19)/100</f>
        <v>0.39</v>
      </c>
    </row>
    <row r="20" spans="1:15" x14ac:dyDescent="0.3">
      <c r="A20" s="15"/>
      <c r="B20" s="39" t="s">
        <v>29</v>
      </c>
      <c r="C20" s="13">
        <v>40</v>
      </c>
      <c r="D20" s="21">
        <f>7.15*((100/50)*C20)/100</f>
        <v>5.72</v>
      </c>
      <c r="E20" s="21">
        <f>4.075*((100/50)*C20)/100</f>
        <v>3.26</v>
      </c>
      <c r="F20" s="21">
        <f>18.2*((100/50)*C20)/100</f>
        <v>14.56</v>
      </c>
      <c r="G20" s="21">
        <f>84.45*((100/50)*C20)/100</f>
        <v>67.56</v>
      </c>
      <c r="H20" s="21">
        <f>0.03*((100/50)*C20)/100</f>
        <v>2.4E-2</v>
      </c>
      <c r="I20" s="21">
        <f>3.56*((100/50)*C20)/100</f>
        <v>2.8480000000000003</v>
      </c>
      <c r="J20" s="21">
        <f>1.52*((100/50)*C20)/100</f>
        <v>1.216</v>
      </c>
      <c r="K20" s="21">
        <f>0*((100/50)*C20)/100</f>
        <v>0</v>
      </c>
      <c r="L20" s="21">
        <f>9.8*((100/50)*C20)/100</f>
        <v>7.84</v>
      </c>
      <c r="M20" s="21">
        <f>35.6*((100/50)*C20)/100</f>
        <v>28.48</v>
      </c>
      <c r="N20" s="21">
        <f>3.9*((100/50)*C20)/100</f>
        <v>3.12</v>
      </c>
      <c r="O20" s="22">
        <f>0.16*((100/50)*C20)/100</f>
        <v>0.128</v>
      </c>
    </row>
    <row r="21" spans="1:15" x14ac:dyDescent="0.3">
      <c r="A21" s="15"/>
      <c r="B21" s="40" t="s">
        <v>30</v>
      </c>
      <c r="C21" s="13">
        <v>50</v>
      </c>
      <c r="D21" s="21">
        <f>1.432*((100/40)*C21)/100</f>
        <v>1.79</v>
      </c>
      <c r="E21" s="21">
        <f>0.336*((100/40)*C21)/100</f>
        <v>0.42</v>
      </c>
      <c r="F21" s="21">
        <f>16.92*((100/40)*C21)/100</f>
        <v>21.15</v>
      </c>
      <c r="G21" s="37">
        <f>77.04*((100/40)*C21)/100</f>
        <v>96.3</v>
      </c>
      <c r="H21" s="37">
        <f>0.06*((100/40)*C21)/100</f>
        <v>7.4999999999999997E-2</v>
      </c>
      <c r="I21" s="36">
        <f>0*((100/40)*C21)/100</f>
        <v>0</v>
      </c>
      <c r="J21" s="37">
        <f>1.52*((100/40)*C21)/100</f>
        <v>1.9</v>
      </c>
      <c r="K21" s="36">
        <f>0*((100/40)*C21)/100</f>
        <v>0</v>
      </c>
      <c r="L21" s="21">
        <f>14.4*((100/40)*C21)/100</f>
        <v>18</v>
      </c>
      <c r="M21" s="21">
        <f>0.872*((100/40)*C21)/100</f>
        <v>1.0900000000000001</v>
      </c>
      <c r="N21" s="21">
        <f>8.92*((100/40)*C21)/100</f>
        <v>11.15</v>
      </c>
      <c r="O21" s="22">
        <f>0.36*((100/40)*C21)/100</f>
        <v>0.45</v>
      </c>
    </row>
    <row r="22" spans="1:15" ht="15" thickBot="1" x14ac:dyDescent="0.35">
      <c r="A22" s="6" t="s">
        <v>2</v>
      </c>
      <c r="B22" s="35"/>
      <c r="C22" s="7"/>
      <c r="D22" s="18">
        <f t="shared" ref="D22:O22" si="1">SUM(D15:D21)</f>
        <v>35.917999999999999</v>
      </c>
      <c r="E22" s="18">
        <f t="shared" si="1"/>
        <v>24.072499999999998</v>
      </c>
      <c r="F22" s="18">
        <f t="shared" si="1"/>
        <v>127.42499999999998</v>
      </c>
      <c r="G22" s="18">
        <f t="shared" si="1"/>
        <v>828.88499999999999</v>
      </c>
      <c r="H22" s="18">
        <f t="shared" si="1"/>
        <v>0.54900000000000004</v>
      </c>
      <c r="I22" s="18">
        <f t="shared" si="1"/>
        <v>36.077999999999996</v>
      </c>
      <c r="J22" s="18">
        <f t="shared" si="1"/>
        <v>8.6859999999999999</v>
      </c>
      <c r="K22" s="18">
        <f t="shared" si="1"/>
        <v>0.17600000000000002</v>
      </c>
      <c r="L22" s="18">
        <f t="shared" si="1"/>
        <v>202.08999999999997</v>
      </c>
      <c r="M22" s="18">
        <f t="shared" si="1"/>
        <v>719.322</v>
      </c>
      <c r="N22" s="18">
        <f t="shared" si="1"/>
        <v>115.17800000000001</v>
      </c>
      <c r="O22" s="19">
        <f t="shared" si="1"/>
        <v>3.5280000000000005</v>
      </c>
    </row>
    <row r="24" spans="1:15" ht="15" thickBot="1" x14ac:dyDescent="0.35"/>
    <row r="25" spans="1:15" ht="15" thickBot="1" x14ac:dyDescent="0.35">
      <c r="A25" s="41" t="s">
        <v>80</v>
      </c>
      <c r="B25" s="42"/>
      <c r="C25" s="42"/>
      <c r="D25" s="43">
        <f t="shared" ref="D25:O25" si="2">D10+D22</f>
        <v>55.751333333333335</v>
      </c>
      <c r="E25" s="43">
        <f t="shared" si="2"/>
        <v>42.647499999999994</v>
      </c>
      <c r="F25" s="43">
        <f t="shared" si="2"/>
        <v>191.92499999999995</v>
      </c>
      <c r="G25" s="43">
        <f t="shared" si="2"/>
        <v>1321.0016666666666</v>
      </c>
      <c r="H25" s="43">
        <f t="shared" si="2"/>
        <v>1.1573333333333333</v>
      </c>
      <c r="I25" s="43">
        <f t="shared" si="2"/>
        <v>62.582999999999998</v>
      </c>
      <c r="J25" s="43">
        <f t="shared" si="2"/>
        <v>10.749333333333333</v>
      </c>
      <c r="K25" s="43">
        <f t="shared" si="2"/>
        <v>0.29600000000000004</v>
      </c>
      <c r="L25" s="43">
        <f t="shared" si="2"/>
        <v>686.91</v>
      </c>
      <c r="M25" s="43">
        <f t="shared" si="2"/>
        <v>1370.5169999999998</v>
      </c>
      <c r="N25" s="43">
        <f t="shared" si="2"/>
        <v>364.91300000000001</v>
      </c>
      <c r="O25" s="44">
        <f t="shared" si="2"/>
        <v>12.373833333333334</v>
      </c>
    </row>
  </sheetData>
  <mergeCells count="9">
    <mergeCell ref="D13:F13"/>
    <mergeCell ref="H13:K13"/>
    <mergeCell ref="L13:O13"/>
    <mergeCell ref="A1:O1"/>
    <mergeCell ref="A2:O2"/>
    <mergeCell ref="D3:F3"/>
    <mergeCell ref="H3:K3"/>
    <mergeCell ref="L3:O3"/>
    <mergeCell ref="A12:O12"/>
  </mergeCells>
  <pageMargins left="0.31496062992125984" right="0.11811023622047245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M4" sqref="M4:N4"/>
    </sheetView>
  </sheetViews>
  <sheetFormatPr defaultRowHeight="14.4" x14ac:dyDescent="0.3"/>
  <cols>
    <col min="2" max="2" width="18.5546875" customWidth="1"/>
    <col min="10" max="10" width="22.33203125" customWidth="1"/>
  </cols>
  <sheetData>
    <row r="1" spans="1:14" ht="33.9" customHeight="1" thickBot="1" x14ac:dyDescent="0.35">
      <c r="A1" s="78" t="s">
        <v>78</v>
      </c>
      <c r="B1" s="63"/>
      <c r="C1" s="63"/>
      <c r="D1" s="63"/>
      <c r="E1" s="63"/>
      <c r="F1" s="79"/>
      <c r="I1" s="78" t="s">
        <v>23</v>
      </c>
      <c r="J1" s="63"/>
      <c r="K1" s="63"/>
      <c r="L1" s="63"/>
      <c r="M1" s="63"/>
      <c r="N1" s="79"/>
    </row>
    <row r="2" spans="1:14" ht="28.5" customHeight="1" x14ac:dyDescent="0.3">
      <c r="A2" s="80" t="s">
        <v>62</v>
      </c>
      <c r="B2" s="81"/>
      <c r="C2" s="83" t="s">
        <v>63</v>
      </c>
      <c r="D2" s="83"/>
      <c r="E2" s="83"/>
      <c r="F2" s="84"/>
      <c r="I2" s="80" t="s">
        <v>62</v>
      </c>
      <c r="J2" s="81"/>
      <c r="K2" s="83" t="s">
        <v>63</v>
      </c>
      <c r="L2" s="83"/>
      <c r="M2" s="83"/>
      <c r="N2" s="84"/>
    </row>
    <row r="3" spans="1:14" ht="15" thickBot="1" x14ac:dyDescent="0.35">
      <c r="A3" s="73"/>
      <c r="B3" s="82"/>
      <c r="C3" s="85" t="s">
        <v>77</v>
      </c>
      <c r="D3" s="85"/>
      <c r="E3" s="85" t="s">
        <v>64</v>
      </c>
      <c r="F3" s="86"/>
      <c r="I3" s="73"/>
      <c r="J3" s="82"/>
      <c r="K3" s="85" t="s">
        <v>77</v>
      </c>
      <c r="L3" s="85"/>
      <c r="M3" s="85" t="s">
        <v>64</v>
      </c>
      <c r="N3" s="86"/>
    </row>
    <row r="4" spans="1:14" ht="15" thickBot="1" x14ac:dyDescent="0.35">
      <c r="A4" s="73" t="s">
        <v>65</v>
      </c>
      <c r="B4" s="74"/>
      <c r="C4" s="75">
        <f>E4*10</f>
        <v>199.1</v>
      </c>
      <c r="D4" s="76"/>
      <c r="E4" s="76">
        <f>SUM('1 День'!D9,'2 День'!D9,'3 День'!D9,'4 День'!D9,'5 День'!D9,'6 День'!D10,'7 День'!D9,'8 День'!D9,' 9 День '!D9,'10 День'!D10)/10</f>
        <v>19.91</v>
      </c>
      <c r="F4" s="77"/>
      <c r="I4" s="73" t="s">
        <v>65</v>
      </c>
      <c r="J4" s="74"/>
      <c r="K4" s="75">
        <f>M4*10</f>
        <v>336.08183333333335</v>
      </c>
      <c r="L4" s="76"/>
      <c r="M4" s="76">
        <f>SUM('1 День'!D21,'2 День'!D21,'3 День'!D21,'4 День'!D21,'5 День'!D21,'6 День'!D22,'7 День'!D21,'8 День'!D21,' 9 День '!D21,'10 День'!D22)/10</f>
        <v>33.608183333333336</v>
      </c>
      <c r="N4" s="77"/>
    </row>
    <row r="5" spans="1:14" ht="15" thickBot="1" x14ac:dyDescent="0.35">
      <c r="A5" s="73" t="s">
        <v>66</v>
      </c>
      <c r="B5" s="74"/>
      <c r="C5" s="75">
        <f t="shared" ref="C5:C15" si="0">E5*10</f>
        <v>236.40666666666664</v>
      </c>
      <c r="D5" s="76"/>
      <c r="E5" s="87">
        <f>SUM('1 День'!E9,'2 День'!E9,'3 День'!E9,'4 День'!E9,'5 День'!E9,'6 День'!E10,'7 День'!E9,'8 День'!E9,' 9 День '!E9,'10 День'!E10)/10</f>
        <v>23.640666666666664</v>
      </c>
      <c r="F5" s="88"/>
      <c r="I5" s="73" t="s">
        <v>66</v>
      </c>
      <c r="J5" s="74"/>
      <c r="K5" s="75">
        <f t="shared" ref="K5:K15" si="1">M5*10</f>
        <v>327.09433333333334</v>
      </c>
      <c r="L5" s="76"/>
      <c r="M5" s="76">
        <f>SUM('1 День'!E21,'2 День'!E21,'3 День'!E21,'4 День'!E21,'5 День'!E21,'6 День'!E22,'7 День'!E21,'8 День'!E21,' 9 День '!E21,'10 День'!E22)/10</f>
        <v>32.709433333333337</v>
      </c>
      <c r="N5" s="77"/>
    </row>
    <row r="6" spans="1:14" ht="15" thickBot="1" x14ac:dyDescent="0.35">
      <c r="A6" s="73" t="s">
        <v>67</v>
      </c>
      <c r="B6" s="74"/>
      <c r="C6" s="75">
        <f t="shared" si="0"/>
        <v>836.79166666666663</v>
      </c>
      <c r="D6" s="76"/>
      <c r="E6" s="76">
        <f>SUM('1 День'!F9,'2 День'!F9,'3 День'!F9,'4 День'!F9,'5 День'!F9,'6 День'!F10,'7 День'!F9,'8 День'!F9,' 9 День '!F9,'10 День'!F10)/10</f>
        <v>83.67916666666666</v>
      </c>
      <c r="F6" s="77"/>
      <c r="I6" s="73" t="s">
        <v>67</v>
      </c>
      <c r="J6" s="74"/>
      <c r="K6" s="75">
        <f t="shared" si="1"/>
        <v>1215.3798333333334</v>
      </c>
      <c r="L6" s="76"/>
      <c r="M6" s="76">
        <f>SUM('1 День'!F21,'2 День'!F21,'3 День'!F21,'4 День'!F21,'5 День'!F21,'6 День'!F22,'7 День'!F21,'8 День'!F21,' 9 День '!F21,'10 День'!F22)/10</f>
        <v>121.53798333333334</v>
      </c>
      <c r="N6" s="77"/>
    </row>
    <row r="7" spans="1:14" ht="15" thickBot="1" x14ac:dyDescent="0.35">
      <c r="A7" s="73" t="s">
        <v>68</v>
      </c>
      <c r="B7" s="74"/>
      <c r="C7" s="75">
        <f t="shared" si="0"/>
        <v>5795.5</v>
      </c>
      <c r="D7" s="76"/>
      <c r="E7" s="76">
        <f>SUM('1 День'!G9,'2 День'!G9,'3 День'!G9,'4 День'!G9,'5 День'!G9,'6 День'!G10,'7 День'!G9,'8 День'!G9,' 9 День '!G9,'10 День'!G10)/10</f>
        <v>579.54999999999995</v>
      </c>
      <c r="F7" s="77"/>
      <c r="I7" s="73" t="s">
        <v>68</v>
      </c>
      <c r="J7" s="74"/>
      <c r="K7" s="75">
        <f t="shared" si="1"/>
        <v>8902.1583333333328</v>
      </c>
      <c r="L7" s="76"/>
      <c r="M7" s="76">
        <f>SUM('1 День'!G21,'2 День'!G21,'3 День'!G21,'4 День'!G21,'5 День'!G21,'6 День'!G22,'7 День'!G21,'8 День'!G21,' 9 День '!G21,'10 День'!G22)/10</f>
        <v>890.21583333333331</v>
      </c>
      <c r="N7" s="77"/>
    </row>
    <row r="8" spans="1:14" ht="15" thickBot="1" x14ac:dyDescent="0.35">
      <c r="A8" s="73" t="s">
        <v>69</v>
      </c>
      <c r="B8" s="74"/>
      <c r="C8" s="75">
        <f t="shared" si="0"/>
        <v>3.5912500000000005</v>
      </c>
      <c r="D8" s="76"/>
      <c r="E8" s="76">
        <f>SUM('1 День'!H9,'2 День'!H9,'3 День'!H9,'4 День'!H9,'5 День'!H9,'6 День'!H10,'7 День'!H9,'8 День'!H9,' 9 День '!H9,'10 День'!H10)/10</f>
        <v>0.35912500000000003</v>
      </c>
      <c r="F8" s="77"/>
      <c r="I8" s="73" t="s">
        <v>69</v>
      </c>
      <c r="J8" s="74"/>
      <c r="K8" s="75">
        <f t="shared" si="1"/>
        <v>5.5321666666666669</v>
      </c>
      <c r="L8" s="76"/>
      <c r="M8" s="76">
        <f>SUM('1 День'!H21,'2 День'!H21,'3 День'!H21,'4 День'!H21,'5 День'!H21,'6 День'!H22,'7 День'!H21,'8 День'!H21,' 9 День '!H21,'10 День'!H22)/10</f>
        <v>0.55321666666666669</v>
      </c>
      <c r="N8" s="77"/>
    </row>
    <row r="9" spans="1:14" ht="15" thickBot="1" x14ac:dyDescent="0.35">
      <c r="A9" s="73" t="s">
        <v>70</v>
      </c>
      <c r="B9" s="74"/>
      <c r="C9" s="75">
        <f t="shared" si="0"/>
        <v>236.04666666666668</v>
      </c>
      <c r="D9" s="76"/>
      <c r="E9" s="76">
        <f>SUM('1 День'!I9,'2 День'!I9,'3 День'!I9,'4 День'!I9,'5 День'!I9,'6 День'!I10,'7 День'!I9,'8 День'!I9,' 9 День '!I9,'10 День'!I10)/10</f>
        <v>23.604666666666667</v>
      </c>
      <c r="F9" s="77"/>
      <c r="I9" s="73" t="s">
        <v>70</v>
      </c>
      <c r="J9" s="74"/>
      <c r="K9" s="75">
        <f t="shared" si="1"/>
        <v>359.16750000000002</v>
      </c>
      <c r="L9" s="76"/>
      <c r="M9" s="76">
        <f>SUM('1 День'!I21,'2 День'!I21,'3 День'!I21,'4 День'!I21,'5 День'!I21,'6 День'!I22,'7 День'!I21,'8 День'!I21,' 9 День '!I21,'10 День'!I22)/10</f>
        <v>35.91675</v>
      </c>
      <c r="N9" s="77"/>
    </row>
    <row r="10" spans="1:14" ht="15" thickBot="1" x14ac:dyDescent="0.35">
      <c r="A10" s="73" t="s">
        <v>71</v>
      </c>
      <c r="B10" s="74"/>
      <c r="C10" s="75">
        <f t="shared" si="0"/>
        <v>20.916666666666664</v>
      </c>
      <c r="D10" s="76"/>
      <c r="E10" s="76">
        <f>SUM('1 День'!J9,'2 День'!J9,'3 День'!J9,'4 День'!J9,'5 День'!J9,'6 День'!J10,'7 День'!J9,'8 День'!J9,' 9 День '!J9,'10 День'!J10)/10</f>
        <v>2.0916666666666663</v>
      </c>
      <c r="F10" s="77"/>
      <c r="I10" s="73" t="s">
        <v>71</v>
      </c>
      <c r="J10" s="74"/>
      <c r="K10" s="75">
        <f t="shared" si="1"/>
        <v>53.541333333333327</v>
      </c>
      <c r="L10" s="76"/>
      <c r="M10" s="76">
        <f>SUM('1 День'!J21,'2 День'!J21,'3 День'!J21,'4 День'!J21,'5 День'!J21,'6 День'!J22,'7 День'!J21,'8 День'!J21,' 9 День '!J21,'10 День'!J22)/10</f>
        <v>5.3541333333333325</v>
      </c>
      <c r="N10" s="77"/>
    </row>
    <row r="11" spans="1:14" ht="15" thickBot="1" x14ac:dyDescent="0.35">
      <c r="A11" s="73" t="s">
        <v>72</v>
      </c>
      <c r="B11" s="74"/>
      <c r="C11" s="75">
        <f t="shared" si="0"/>
        <v>2.5099999999999998</v>
      </c>
      <c r="D11" s="76"/>
      <c r="E11" s="76">
        <f>SUM('1 День'!K9,'2 День'!K9,'3 День'!K9,'4 День'!K9,'5 День'!K9,'6 День'!K10,'7 День'!K9,'8 День'!K9,' 9 День '!K9,'10 День'!K10)/10</f>
        <v>0.251</v>
      </c>
      <c r="F11" s="77"/>
      <c r="I11" s="73" t="s">
        <v>72</v>
      </c>
      <c r="J11" s="74"/>
      <c r="K11" s="75">
        <f t="shared" si="1"/>
        <v>1.3071666666666664</v>
      </c>
      <c r="L11" s="76"/>
      <c r="M11" s="76">
        <f>SUM('1 День'!K21,'2 День'!K21,'3 День'!K21,'4 День'!K21,'5 День'!K21,'6 День'!K22,'7 День'!K21,'8 День'!K21,' 9 День '!K21,'10 День'!K22)/10</f>
        <v>0.13071666666666665</v>
      </c>
      <c r="N11" s="77"/>
    </row>
    <row r="12" spans="1:14" ht="15" thickBot="1" x14ac:dyDescent="0.35">
      <c r="A12" s="73" t="s">
        <v>73</v>
      </c>
      <c r="B12" s="74"/>
      <c r="C12" s="75">
        <f t="shared" si="0"/>
        <v>4084.5366666666669</v>
      </c>
      <c r="D12" s="76"/>
      <c r="E12" s="76">
        <f>SUM('1 День'!L9,'2 День'!L9,'3 День'!L9,'4 День'!L9,'5 День'!L9,'6 День'!L10,'7 День'!L9,'8 День'!L9,' 9 День '!L9,'10 День'!L10)/10</f>
        <v>408.45366666666666</v>
      </c>
      <c r="F12" s="77"/>
      <c r="I12" s="73" t="s">
        <v>73</v>
      </c>
      <c r="J12" s="74"/>
      <c r="K12" s="75">
        <f t="shared" si="1"/>
        <v>2278.6063333333336</v>
      </c>
      <c r="L12" s="76"/>
      <c r="M12" s="76">
        <f>SUM('1 День'!L21,'2 День'!L21,'3 День'!L21,'4 День'!L21,'5 День'!L21,'6 День'!L22,'7 День'!L21,'8 День'!L21,' 9 День '!L21,'10 День'!L22)/10</f>
        <v>227.86063333333337</v>
      </c>
      <c r="N12" s="77"/>
    </row>
    <row r="13" spans="1:14" ht="15" thickBot="1" x14ac:dyDescent="0.35">
      <c r="A13" s="73" t="s">
        <v>74</v>
      </c>
      <c r="B13" s="74"/>
      <c r="C13" s="75">
        <f t="shared" si="0"/>
        <v>4415.87</v>
      </c>
      <c r="D13" s="76"/>
      <c r="E13" s="76">
        <f>SUM('1 День'!M9,'2 День'!M9,'3 День'!M9,'4 День'!M9,'5 День'!M9,'6 День'!M10,'7 День'!M9,'8 День'!M9,' 9 День '!M9,'10 День'!M10)/10</f>
        <v>441.58699999999999</v>
      </c>
      <c r="F13" s="77"/>
      <c r="I13" s="73" t="s">
        <v>74</v>
      </c>
      <c r="J13" s="74"/>
      <c r="K13" s="75">
        <f t="shared" si="1"/>
        <v>5652.3045000000002</v>
      </c>
      <c r="L13" s="76"/>
      <c r="M13" s="76">
        <f>SUM('1 День'!M21,'2 День'!M21,'3 День'!M21,'4 День'!M21,'5 День'!M21,'6 День'!M22,'7 День'!M21,'8 День'!M21,' 9 День '!M21,'10 День'!M22)/10</f>
        <v>565.23045000000002</v>
      </c>
      <c r="N13" s="77"/>
    </row>
    <row r="14" spans="1:14" ht="15" thickBot="1" x14ac:dyDescent="0.35">
      <c r="A14" s="73" t="s">
        <v>75</v>
      </c>
      <c r="B14" s="74"/>
      <c r="C14" s="75">
        <f t="shared" si="0"/>
        <v>909.39333333333343</v>
      </c>
      <c r="D14" s="76"/>
      <c r="E14" s="76">
        <f>SUM('1 День'!N9,'2 День'!N9,'3 День'!N9,'4 День'!N9,'5 День'!N9,'6 День'!N10,'7 День'!N9,'8 День'!N9,' 9 День '!N9,'10 День'!N10)/10</f>
        <v>90.939333333333337</v>
      </c>
      <c r="F14" s="77"/>
      <c r="I14" s="73" t="s">
        <v>75</v>
      </c>
      <c r="J14" s="74"/>
      <c r="K14" s="75">
        <f t="shared" si="1"/>
        <v>1419.9156666666663</v>
      </c>
      <c r="L14" s="76"/>
      <c r="M14" s="76">
        <f>SUM('1 День'!N21,'2 День'!N21,'3 День'!N21,'4 День'!N21,'5 День'!N21,'6 День'!N22,'7 День'!N21,'8 День'!N21,' 9 День '!N21,'10 День'!N22)/10</f>
        <v>141.99156666666664</v>
      </c>
      <c r="N14" s="77"/>
    </row>
    <row r="15" spans="1:14" ht="15" thickBot="1" x14ac:dyDescent="0.35">
      <c r="A15" s="69" t="s">
        <v>76</v>
      </c>
      <c r="B15" s="70"/>
      <c r="C15" s="71">
        <f t="shared" si="0"/>
        <v>36.482499999999995</v>
      </c>
      <c r="D15" s="72"/>
      <c r="E15" s="72">
        <f>SUM('1 День'!O9,'2 День'!O9,'3 День'!O9,'4 День'!O9,'5 День'!O9,'6 День'!O10,'7 День'!O9,'8 День'!O9,' 9 День '!O9,'10 День'!O10)/10</f>
        <v>3.6482499999999995</v>
      </c>
      <c r="F15" s="61"/>
      <c r="I15" s="69" t="s">
        <v>76</v>
      </c>
      <c r="J15" s="70"/>
      <c r="K15" s="71">
        <f t="shared" si="1"/>
        <v>92.146166666666687</v>
      </c>
      <c r="L15" s="72"/>
      <c r="M15" s="72">
        <f>SUM('1 День'!O21,'2 День'!O21,'3 День'!O21,'4 День'!O21,'5 День'!O21,'6 День'!O22,'7 День'!O21,'8 День'!O21,' 9 День '!O21,'10 День'!O22)/10</f>
        <v>9.214616666666668</v>
      </c>
      <c r="N15" s="61"/>
    </row>
  </sheetData>
  <mergeCells count="82">
    <mergeCell ref="A4:B4"/>
    <mergeCell ref="C4:D4"/>
    <mergeCell ref="E4:F4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C12:D12"/>
    <mergeCell ref="E12:F12"/>
    <mergeCell ref="A9:B9"/>
    <mergeCell ref="C9:D9"/>
    <mergeCell ref="E9:F9"/>
    <mergeCell ref="A10:B10"/>
    <mergeCell ref="C10:D10"/>
    <mergeCell ref="E10:F10"/>
    <mergeCell ref="A1:F1"/>
    <mergeCell ref="I1:N1"/>
    <mergeCell ref="I2:J3"/>
    <mergeCell ref="K2:N2"/>
    <mergeCell ref="K3:L3"/>
    <mergeCell ref="M3:N3"/>
    <mergeCell ref="A2:B3"/>
    <mergeCell ref="C2:F2"/>
    <mergeCell ref="C3:D3"/>
    <mergeCell ref="E3:F3"/>
    <mergeCell ref="I6:J6"/>
    <mergeCell ref="K6:L6"/>
    <mergeCell ref="M6:N6"/>
    <mergeCell ref="A15:B15"/>
    <mergeCell ref="C15:D15"/>
    <mergeCell ref="E15:F15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K4:L4"/>
    <mergeCell ref="M4:N4"/>
    <mergeCell ref="I5:J5"/>
    <mergeCell ref="K5:L5"/>
    <mergeCell ref="M5:N5"/>
    <mergeCell ref="I4:J4"/>
    <mergeCell ref="I7:J7"/>
    <mergeCell ref="K7:L7"/>
    <mergeCell ref="M7:N7"/>
    <mergeCell ref="I8:J8"/>
    <mergeCell ref="K8:L8"/>
    <mergeCell ref="M8:N8"/>
    <mergeCell ref="I9:J9"/>
    <mergeCell ref="K9:L9"/>
    <mergeCell ref="M9:N9"/>
    <mergeCell ref="I10:J10"/>
    <mergeCell ref="K10:L10"/>
    <mergeCell ref="M10:N10"/>
    <mergeCell ref="I11:J11"/>
    <mergeCell ref="K11:L11"/>
    <mergeCell ref="M11:N11"/>
    <mergeCell ref="I12:J12"/>
    <mergeCell ref="K12:L12"/>
    <mergeCell ref="M12:N12"/>
    <mergeCell ref="I15:J15"/>
    <mergeCell ref="K15:L15"/>
    <mergeCell ref="M15:N15"/>
    <mergeCell ref="I13:J13"/>
    <mergeCell ref="K13:L13"/>
    <mergeCell ref="M13:N13"/>
    <mergeCell ref="I14:J14"/>
    <mergeCell ref="K14:L14"/>
    <mergeCell ref="M14:N1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R11" sqref="R11"/>
    </sheetView>
  </sheetViews>
  <sheetFormatPr defaultRowHeight="14.4" x14ac:dyDescent="0.3"/>
  <cols>
    <col min="2" max="2" width="25.109375" customWidth="1"/>
    <col min="7" max="7" width="9.44140625" customWidth="1"/>
  </cols>
  <sheetData>
    <row r="1" spans="1:15" x14ac:dyDescent="0.3">
      <c r="A1" s="54" t="s">
        <v>106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" thickBot="1" x14ac:dyDescent="0.35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58.2" thickBot="1" x14ac:dyDescent="0.35">
      <c r="A3" s="10" t="s">
        <v>0</v>
      </c>
      <c r="B3" s="11" t="s">
        <v>3</v>
      </c>
      <c r="C3" s="12" t="s">
        <v>4</v>
      </c>
      <c r="D3" s="56" t="s">
        <v>5</v>
      </c>
      <c r="E3" s="56"/>
      <c r="F3" s="56"/>
      <c r="G3" s="12" t="s">
        <v>6</v>
      </c>
      <c r="H3" s="56" t="s">
        <v>7</v>
      </c>
      <c r="I3" s="56"/>
      <c r="J3" s="56"/>
      <c r="K3" s="56"/>
      <c r="L3" s="57" t="s">
        <v>8</v>
      </c>
      <c r="M3" s="56"/>
      <c r="N3" s="56"/>
      <c r="O3" s="58"/>
    </row>
    <row r="4" spans="1:15" x14ac:dyDescent="0.3">
      <c r="A4" s="4" t="s">
        <v>1</v>
      </c>
      <c r="B4" s="32"/>
      <c r="C4" s="33"/>
      <c r="D4" s="33" t="s">
        <v>9</v>
      </c>
      <c r="E4" s="33" t="s">
        <v>10</v>
      </c>
      <c r="F4" s="33" t="s">
        <v>11</v>
      </c>
      <c r="G4" s="33"/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1" t="s">
        <v>19</v>
      </c>
    </row>
    <row r="5" spans="1:15" x14ac:dyDescent="0.3">
      <c r="A5" s="5">
        <v>41</v>
      </c>
      <c r="B5" s="38" t="s">
        <v>84</v>
      </c>
      <c r="C5" s="23">
        <v>100</v>
      </c>
      <c r="D5" s="16">
        <f>0.51*((100/60)*C5)/100</f>
        <v>0.85000000000000009</v>
      </c>
      <c r="E5" s="16">
        <f>5.06*((100/60)*C5)/100</f>
        <v>8.4333333333333336</v>
      </c>
      <c r="F5" s="16">
        <f>1.4*((100/60)*C5)/100</f>
        <v>2.3333333333333335</v>
      </c>
      <c r="G5" s="16">
        <f>53*((100/60)*C5)/100</f>
        <v>88.333333333333343</v>
      </c>
      <c r="H5" s="16">
        <f>0.02*((100/60)*C5)/100</f>
        <v>3.333333333333334E-2</v>
      </c>
      <c r="I5" s="16">
        <f>6.5*((100/60)*C5)/100</f>
        <v>10.833333333333336</v>
      </c>
      <c r="J5" s="16">
        <f>0.41*((100/60)*C5)/100</f>
        <v>0.68333333333333346</v>
      </c>
      <c r="K5" s="16">
        <f>0.23*((100/60)*C5)/100</f>
        <v>0.38333333333333341</v>
      </c>
      <c r="L5" s="16">
        <f>11.5*((100/60)*C5)/100</f>
        <v>19.166666666666671</v>
      </c>
      <c r="M5" s="16">
        <f>27.54*((100/60)*C5)/100</f>
        <v>45.9</v>
      </c>
      <c r="N5" s="16">
        <f>9.5*((100/60)*C5)/100</f>
        <v>15.833333333333336</v>
      </c>
      <c r="O5" s="17">
        <f>0.57*((100/60)*C5)/100</f>
        <v>0.95</v>
      </c>
    </row>
    <row r="6" spans="1:15" x14ac:dyDescent="0.3">
      <c r="A6" s="5">
        <v>327</v>
      </c>
      <c r="B6" s="38" t="s">
        <v>31</v>
      </c>
      <c r="C6" s="23">
        <v>200</v>
      </c>
      <c r="D6" s="16">
        <f>5.4*((100/150)*C6)/100</f>
        <v>7.2</v>
      </c>
      <c r="E6" s="16">
        <f>7.03*((100/150)*C6)/100</f>
        <v>9.3733333333333331</v>
      </c>
      <c r="F6" s="16">
        <f>24.87*((100/150)*C6)/100</f>
        <v>33.159999999999997</v>
      </c>
      <c r="G6" s="16">
        <f>198*((100/150)*C6)/100</f>
        <v>263.99999999999994</v>
      </c>
      <c r="H6" s="16">
        <f>0.06*((100/150)*C6)/100</f>
        <v>7.9999999999999988E-2</v>
      </c>
      <c r="I6" s="16">
        <f>0.92*((100/150)*C6)/100</f>
        <v>1.2266666666666666</v>
      </c>
      <c r="J6" s="16">
        <f>0*((100/150)*C6)/100</f>
        <v>0</v>
      </c>
      <c r="K6" s="16">
        <f>0.05*((100/150)*C6)/100</f>
        <v>6.6666666666666666E-2</v>
      </c>
      <c r="L6" s="16">
        <f>173.93*((100/150)*C6)/100</f>
        <v>231.90666666666664</v>
      </c>
      <c r="M6" s="16">
        <f>194.5*((100/150)*C6)/100</f>
        <v>259.33333333333326</v>
      </c>
      <c r="N6" s="16">
        <f>27.24*((100/150)*C6)/100</f>
        <v>36.319999999999993</v>
      </c>
      <c r="O6" s="17">
        <f>0.59*((100/150)*C6)/100</f>
        <v>0.78666666666666663</v>
      </c>
    </row>
    <row r="7" spans="1:15" x14ac:dyDescent="0.3">
      <c r="A7" s="5">
        <v>431</v>
      </c>
      <c r="B7" s="38" t="s">
        <v>33</v>
      </c>
      <c r="C7" s="23">
        <v>200</v>
      </c>
      <c r="D7" s="16">
        <f>1.54*((100/200)*C7)/100</f>
        <v>1.54</v>
      </c>
      <c r="E7" s="16">
        <f>1.63*((100/200)*C7)/100</f>
        <v>1.63</v>
      </c>
      <c r="F7" s="16">
        <f>9.36*((100/200)*C7)/100</f>
        <v>9.36</v>
      </c>
      <c r="G7" s="16">
        <f>56*((100/200)*C7)/100</f>
        <v>56</v>
      </c>
      <c r="H7" s="16">
        <f>0.02*((100/200)*C7)/100</f>
        <v>0.02</v>
      </c>
      <c r="I7" s="16">
        <f>0.72*((100/200)*C7)/100</f>
        <v>0.72</v>
      </c>
      <c r="J7" s="16">
        <f>0.02*((100/200)*C7)/100</f>
        <v>0.02</v>
      </c>
      <c r="K7" s="16">
        <f>0.01*((100/200)*C7)/100</f>
        <v>0.01</v>
      </c>
      <c r="L7" s="16">
        <f>63.6*((100/200)*C7)/100</f>
        <v>63.6</v>
      </c>
      <c r="M7" s="16">
        <f>50.76*((100/200)*C7)/100</f>
        <v>50.76</v>
      </c>
      <c r="N7" s="16">
        <f>10.08*((100/200)*C7)/100</f>
        <v>10.08</v>
      </c>
      <c r="O7" s="17">
        <f>0.62*((100/200)*C7)/100</f>
        <v>0.62</v>
      </c>
    </row>
    <row r="8" spans="1:15" x14ac:dyDescent="0.3">
      <c r="A8" s="5"/>
      <c r="B8" s="30" t="s">
        <v>29</v>
      </c>
      <c r="C8" s="23">
        <v>50</v>
      </c>
      <c r="D8" s="16">
        <f>5.72*((100/40)*C8)/100</f>
        <v>7.15</v>
      </c>
      <c r="E8" s="16">
        <f>3.26*((100/40)*C8)/100</f>
        <v>4.0750000000000002</v>
      </c>
      <c r="F8" s="16">
        <f>14.56*((100/40)*C8)/100</f>
        <v>18.2</v>
      </c>
      <c r="G8" s="16">
        <f>67.56*((100/40)*C8)/100</f>
        <v>84.45</v>
      </c>
      <c r="H8" s="16">
        <f>0.028*((100/40)*C8)/100</f>
        <v>3.5000000000000003E-2</v>
      </c>
      <c r="I8" s="16">
        <f>2.248*((100/40)*C8)/100</f>
        <v>2.81</v>
      </c>
      <c r="J8" s="16">
        <f>1.12*((100/40)*C8)/100</f>
        <v>1.4</v>
      </c>
      <c r="K8" s="16">
        <f>0*((100/40)*C8)/100</f>
        <v>0</v>
      </c>
      <c r="L8" s="16">
        <f>7.84*((100/40)*C8)/100</f>
        <v>9.8000000000000007</v>
      </c>
      <c r="M8" s="16">
        <f>7.676*((100/40)*C8)/100</f>
        <v>9.5950000000000006</v>
      </c>
      <c r="N8" s="16">
        <f>3.692*((100/40)*C8)/100</f>
        <v>4.6150000000000002</v>
      </c>
      <c r="O8" s="17">
        <f>0.81*((100/40)*C8)/100</f>
        <v>1.0125</v>
      </c>
    </row>
    <row r="9" spans="1:15" ht="15" thickBot="1" x14ac:dyDescent="0.35">
      <c r="A9" s="6" t="s">
        <v>2</v>
      </c>
      <c r="B9" s="35"/>
      <c r="C9" s="18"/>
      <c r="D9" s="18">
        <f>SUM(D5:D8)</f>
        <v>16.740000000000002</v>
      </c>
      <c r="E9" s="18">
        <f t="shared" ref="E9:O9" si="0">SUM(E5:E8)</f>
        <v>23.511666666666663</v>
      </c>
      <c r="F9" s="18">
        <f t="shared" si="0"/>
        <v>63.053333333333327</v>
      </c>
      <c r="G9" s="18">
        <f t="shared" si="0"/>
        <v>492.78333333333325</v>
      </c>
      <c r="H9" s="18">
        <f t="shared" si="0"/>
        <v>0.16833333333333333</v>
      </c>
      <c r="I9" s="18">
        <f t="shared" si="0"/>
        <v>15.590000000000003</v>
      </c>
      <c r="J9" s="18">
        <f t="shared" si="0"/>
        <v>2.1033333333333335</v>
      </c>
      <c r="K9" s="18">
        <f t="shared" si="0"/>
        <v>0.46000000000000008</v>
      </c>
      <c r="L9" s="18">
        <f t="shared" si="0"/>
        <v>324.47333333333336</v>
      </c>
      <c r="M9" s="18">
        <f t="shared" si="0"/>
        <v>365.58833333333325</v>
      </c>
      <c r="N9" s="18">
        <f t="shared" si="0"/>
        <v>66.848333333333329</v>
      </c>
      <c r="O9" s="19">
        <f t="shared" si="0"/>
        <v>3.3691666666666666</v>
      </c>
    </row>
    <row r="11" spans="1:15" ht="15" thickBot="1" x14ac:dyDescent="0.35">
      <c r="A11" s="55" t="s">
        <v>23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58.2" thickBot="1" x14ac:dyDescent="0.35">
      <c r="A12" s="10" t="s">
        <v>0</v>
      </c>
      <c r="B12" s="11" t="s">
        <v>3</v>
      </c>
      <c r="C12" s="12" t="s">
        <v>4</v>
      </c>
      <c r="D12" s="56" t="s">
        <v>5</v>
      </c>
      <c r="E12" s="56"/>
      <c r="F12" s="56"/>
      <c r="G12" s="12" t="s">
        <v>6</v>
      </c>
      <c r="H12" s="56" t="s">
        <v>7</v>
      </c>
      <c r="I12" s="56"/>
      <c r="J12" s="56"/>
      <c r="K12" s="56"/>
      <c r="L12" s="57" t="s">
        <v>8</v>
      </c>
      <c r="M12" s="56"/>
      <c r="N12" s="56"/>
      <c r="O12" s="58"/>
    </row>
    <row r="13" spans="1:15" x14ac:dyDescent="0.3">
      <c r="A13" s="45" t="s">
        <v>1</v>
      </c>
      <c r="B13" s="32"/>
      <c r="C13" s="33"/>
      <c r="D13" s="33" t="s">
        <v>9</v>
      </c>
      <c r="E13" s="33" t="s">
        <v>10</v>
      </c>
      <c r="F13" s="33" t="s">
        <v>11</v>
      </c>
      <c r="G13" s="33"/>
      <c r="H13" s="33" t="s">
        <v>12</v>
      </c>
      <c r="I13" s="33" t="s">
        <v>13</v>
      </c>
      <c r="J13" s="33" t="s">
        <v>14</v>
      </c>
      <c r="K13" s="33" t="s">
        <v>15</v>
      </c>
      <c r="L13" s="33" t="s">
        <v>16</v>
      </c>
      <c r="M13" s="33" t="s">
        <v>17</v>
      </c>
      <c r="N13" s="33" t="s">
        <v>18</v>
      </c>
      <c r="O13" s="31" t="s">
        <v>19</v>
      </c>
    </row>
    <row r="14" spans="1:15" x14ac:dyDescent="0.3">
      <c r="A14" s="46">
        <v>37</v>
      </c>
      <c r="B14" s="30" t="s">
        <v>102</v>
      </c>
      <c r="C14" s="23">
        <v>100</v>
      </c>
      <c r="D14" s="16">
        <f>2.13*((100/60)*C14)/100</f>
        <v>3.55</v>
      </c>
      <c r="E14" s="16">
        <f>7.15*((100/60)*C14)/100</f>
        <v>11.91666666666667</v>
      </c>
      <c r="F14" s="16">
        <f>5.39*((100/60)*C14)/100</f>
        <v>8.9833333333333343</v>
      </c>
      <c r="G14" s="16">
        <f>95*((100/60)*C14)/100</f>
        <v>158.33333333333337</v>
      </c>
      <c r="H14" s="16">
        <f>0.05*((100/60)*C14)/100</f>
        <v>8.3333333333333343E-2</v>
      </c>
      <c r="I14" s="16">
        <f>8.42*((100/60)*C14)/100</f>
        <v>14.033333333333335</v>
      </c>
      <c r="J14" s="16">
        <f>0.06*((100/60)*C14)/100</f>
        <v>0.1</v>
      </c>
      <c r="K14" s="16">
        <f>0.02*((100/60)*C14)/100</f>
        <v>3.333333333333334E-2</v>
      </c>
      <c r="L14" s="16">
        <f>18.94*((100/60)*C14)/100</f>
        <v>31.566666666666674</v>
      </c>
      <c r="M14" s="16">
        <f>44.9*((100/60)*C14)/100</f>
        <v>74.833333333333343</v>
      </c>
      <c r="N14" s="16">
        <f>14.21*((100/60)*C14)/100</f>
        <v>23.683333333333341</v>
      </c>
      <c r="O14" s="17">
        <f>0.61*((100/60)*C14)/100</f>
        <v>1.0166666666666666</v>
      </c>
    </row>
    <row r="15" spans="1:15" x14ac:dyDescent="0.3">
      <c r="A15" s="46">
        <v>149</v>
      </c>
      <c r="B15" s="30" t="s">
        <v>34</v>
      </c>
      <c r="C15" s="23">
        <v>250</v>
      </c>
      <c r="D15" s="16">
        <f>2.05*((100/250)*C15)/100</f>
        <v>2.0499999999999998</v>
      </c>
      <c r="E15" s="16">
        <f>5.25*((100/250)*C15)/100</f>
        <v>5.25</v>
      </c>
      <c r="F15" s="16">
        <f>7.25*((100/250)*C15)/100</f>
        <v>7.25</v>
      </c>
      <c r="G15" s="16">
        <f>85*((100/250)*C15)/100</f>
        <v>85</v>
      </c>
      <c r="H15" s="16">
        <f>0.04*((100/250)*C15)/100</f>
        <v>0.04</v>
      </c>
      <c r="I15" s="16">
        <f>14.2*((100/250)*C15)/100</f>
        <v>14.2</v>
      </c>
      <c r="J15" s="16">
        <f>0.16*((100/250)*C15)/100</f>
        <v>0.16</v>
      </c>
      <c r="K15" s="16">
        <f>0.03*((100/250)*C15)/100</f>
        <v>0.03</v>
      </c>
      <c r="L15" s="16">
        <f>49.94*((100/250)*C15)/100</f>
        <v>49.94</v>
      </c>
      <c r="M15" s="16">
        <f>92.7*((100/250)*C15)/100</f>
        <v>92.7</v>
      </c>
      <c r="N15" s="16">
        <f>18*((100/250)*C15)/100</f>
        <v>18</v>
      </c>
      <c r="O15" s="17">
        <f>0.76*((100/250)*C15)/100</f>
        <v>0.76</v>
      </c>
    </row>
    <row r="16" spans="1:15" x14ac:dyDescent="0.3">
      <c r="A16" s="46">
        <v>448</v>
      </c>
      <c r="B16" s="38" t="s">
        <v>35</v>
      </c>
      <c r="C16" s="23">
        <v>180</v>
      </c>
      <c r="D16" s="16">
        <f>3.81*((100/150)*C16)/100</f>
        <v>4.5720000000000001</v>
      </c>
      <c r="E16" s="16">
        <f>5.11*((100/150)*C16)/100</f>
        <v>6.1320000000000006</v>
      </c>
      <c r="F16" s="16">
        <f>38.61*((100/150)*C16)/100</f>
        <v>46.332000000000001</v>
      </c>
      <c r="G16" s="16">
        <f>228*((100/150)*C16)/100</f>
        <v>273.60000000000002</v>
      </c>
      <c r="H16" s="16">
        <f>0.13*((100/150)*C16)/100</f>
        <v>0.15600000000000003</v>
      </c>
      <c r="I16" s="16">
        <f>10*((100/150)*C16)/100</f>
        <v>12</v>
      </c>
      <c r="J16" s="16">
        <f>0.87*((100/150)*C16)/100</f>
        <v>1.044</v>
      </c>
      <c r="K16" s="16">
        <f>0.03*((100/150)*C16)/100</f>
        <v>3.5999999999999997E-2</v>
      </c>
      <c r="L16" s="16">
        <f>32.73*((100/150)*C16)/100</f>
        <v>39.275999999999996</v>
      </c>
      <c r="M16" s="16">
        <f>82.28*((100/150)*C16)/100</f>
        <v>98.736000000000004</v>
      </c>
      <c r="N16" s="16">
        <f>18.67*((100/150)*C16)/100</f>
        <v>22.404</v>
      </c>
      <c r="O16" s="17">
        <f>2.1*((100/150)*C16)/100</f>
        <v>2.52</v>
      </c>
    </row>
    <row r="17" spans="1:15" x14ac:dyDescent="0.3">
      <c r="A17" s="46">
        <v>238</v>
      </c>
      <c r="B17" s="30" t="s">
        <v>60</v>
      </c>
      <c r="C17" s="34">
        <v>100</v>
      </c>
      <c r="D17" s="16">
        <f>12.55*((100/80)*C17)/100</f>
        <v>15.6875</v>
      </c>
      <c r="E17" s="16">
        <f>0.73*((100/80)*C17)/100</f>
        <v>0.91249999999999998</v>
      </c>
      <c r="F17" s="16">
        <f>0.28*((100/80)*C17)/100</f>
        <v>0.35</v>
      </c>
      <c r="G17" s="16">
        <f>68.8*((100/80)*C17)/100</f>
        <v>86</v>
      </c>
      <c r="H17" s="16">
        <f>0.29*((100/80)*C17)/100</f>
        <v>0.36249999999999999</v>
      </c>
      <c r="I17" s="16">
        <f>2.25*((100/80)*C17)/100</f>
        <v>2.8125</v>
      </c>
      <c r="J17" s="16">
        <f>0.26*((100/80)*C17)/100</f>
        <v>0.32500000000000001</v>
      </c>
      <c r="K17" s="16">
        <f>0.01*((100/80)*C17)/100</f>
        <v>1.2500000000000001E-2</v>
      </c>
      <c r="L17" s="16">
        <f>81.91*((100/80)*C17)/100</f>
        <v>102.3875</v>
      </c>
      <c r="M17" s="16">
        <f>204.04*((100/80)*C17)/100</f>
        <v>255.05</v>
      </c>
      <c r="N17" s="16">
        <f>36.09*((100/80)*C17)/100</f>
        <v>45.112499999999997</v>
      </c>
      <c r="O17" s="17">
        <f>1.01 *((100/80)*C17)/100</f>
        <v>1.2625</v>
      </c>
    </row>
    <row r="18" spans="1:15" x14ac:dyDescent="0.3">
      <c r="A18" s="47">
        <v>422</v>
      </c>
      <c r="B18" s="40" t="s">
        <v>36</v>
      </c>
      <c r="C18" s="24">
        <v>200</v>
      </c>
      <c r="D18" s="21">
        <f>1.4*((100/200)*C18)/100</f>
        <v>1.4</v>
      </c>
      <c r="E18" s="21">
        <f>1.6*((100/200)*C18)/100</f>
        <v>1.6</v>
      </c>
      <c r="F18" s="21">
        <f>22.31*((100/200)*C18)/100</f>
        <v>22.31</v>
      </c>
      <c r="G18" s="21">
        <f>105*((100/200)*C18)/100</f>
        <v>105</v>
      </c>
      <c r="H18" s="21">
        <f>0.02*((100/200)*C18)/100</f>
        <v>0.02</v>
      </c>
      <c r="I18" s="21">
        <f>0.65*((100/200)*C18)/100</f>
        <v>0.65</v>
      </c>
      <c r="J18" s="21">
        <f>0.11*((100/200)*C18)/100</f>
        <v>0.11</v>
      </c>
      <c r="K18" s="21">
        <f>0.01*((100/200)*C18)/100</f>
        <v>0.01</v>
      </c>
      <c r="L18" s="21">
        <f>116.4*((100/200)*C18)/100</f>
        <v>116.4</v>
      </c>
      <c r="M18" s="21">
        <f>145*((100/200)*C18)/100</f>
        <v>145</v>
      </c>
      <c r="N18" s="21">
        <f>7*((100/200)*C18)/100</f>
        <v>7</v>
      </c>
      <c r="O18" s="22">
        <f>0.09*((100/200)*C18)/100</f>
        <v>0.09</v>
      </c>
    </row>
    <row r="19" spans="1:15" x14ac:dyDescent="0.3">
      <c r="A19" s="48"/>
      <c r="B19" s="39" t="s">
        <v>29</v>
      </c>
      <c r="C19" s="24">
        <v>40</v>
      </c>
      <c r="D19" s="21">
        <f>7.15*((100/50)*C19)/100</f>
        <v>5.72</v>
      </c>
      <c r="E19" s="21">
        <f>4.075*((100/50)*C19)/100</f>
        <v>3.26</v>
      </c>
      <c r="F19" s="21">
        <f>18.2*((100/50)*C19)/100</f>
        <v>14.56</v>
      </c>
      <c r="G19" s="21">
        <f>84.45*((100/50)*C19)/100</f>
        <v>67.56</v>
      </c>
      <c r="H19" s="21">
        <f>0.03*((100/50)*C19)/100</f>
        <v>2.4E-2</v>
      </c>
      <c r="I19" s="21">
        <f>3.56*((100/50)*C19)/100</f>
        <v>2.8480000000000003</v>
      </c>
      <c r="J19" s="21">
        <f>1.52*((100/50)*C19)/100</f>
        <v>1.216</v>
      </c>
      <c r="K19" s="21">
        <f>0*((100/50)*C19)/100</f>
        <v>0</v>
      </c>
      <c r="L19" s="21">
        <f>9.8*((100/50)*C19)/100</f>
        <v>7.84</v>
      </c>
      <c r="M19" s="21">
        <f>35.6*((100/50)*C19)/100</f>
        <v>28.48</v>
      </c>
      <c r="N19" s="21">
        <f>3.9*((100/50)*C19)/100</f>
        <v>3.12</v>
      </c>
      <c r="O19" s="22">
        <f>0.16*((100/50)*C19)/100</f>
        <v>0.128</v>
      </c>
    </row>
    <row r="20" spans="1:15" x14ac:dyDescent="0.3">
      <c r="A20" s="48"/>
      <c r="B20" s="40" t="s">
        <v>30</v>
      </c>
      <c r="C20" s="24">
        <v>50</v>
      </c>
      <c r="D20" s="21">
        <f>1.432*((100/40)*C20)/100</f>
        <v>1.79</v>
      </c>
      <c r="E20" s="21">
        <f>0.336*((100/40)*C20)/100</f>
        <v>0.42</v>
      </c>
      <c r="F20" s="21">
        <f>16.92*((100/40)*C20)/100</f>
        <v>21.15</v>
      </c>
      <c r="G20" s="21">
        <f>77.04*((100/40)*C20)/100</f>
        <v>96.3</v>
      </c>
      <c r="H20" s="21">
        <f>0.06*((100/40)*C20)/100</f>
        <v>7.4999999999999997E-2</v>
      </c>
      <c r="I20" s="16">
        <f>0*((100/40)*C20)/100</f>
        <v>0</v>
      </c>
      <c r="J20" s="21">
        <f>1.52*((100/40)*C20)/100</f>
        <v>1.9</v>
      </c>
      <c r="K20" s="16">
        <f>0*((100/40)*C20)/100</f>
        <v>0</v>
      </c>
      <c r="L20" s="21">
        <f>14.4*((100/40)*C20)/100</f>
        <v>18</v>
      </c>
      <c r="M20" s="21">
        <f>0.872*((100/40)*C20)/100</f>
        <v>1.0900000000000001</v>
      </c>
      <c r="N20" s="21">
        <f>8.92*((100/40)*C20)/100</f>
        <v>11.15</v>
      </c>
      <c r="O20" s="22">
        <f>0.36*((100/40)*C20)/100</f>
        <v>0.45</v>
      </c>
    </row>
    <row r="21" spans="1:15" ht="15" thickBot="1" x14ac:dyDescent="0.35">
      <c r="A21" s="49" t="s">
        <v>2</v>
      </c>
      <c r="B21" s="35"/>
      <c r="C21" s="18"/>
      <c r="D21" s="18">
        <f t="shared" ref="D21:O21" si="1">SUM(D14:D20)</f>
        <v>34.769500000000001</v>
      </c>
      <c r="E21" s="18">
        <f t="shared" si="1"/>
        <v>29.491166666666679</v>
      </c>
      <c r="F21" s="18">
        <f t="shared" si="1"/>
        <v>120.93533333333335</v>
      </c>
      <c r="G21" s="18">
        <f t="shared" si="1"/>
        <v>871.79333333333329</v>
      </c>
      <c r="H21" s="18">
        <f t="shared" si="1"/>
        <v>0.76083333333333336</v>
      </c>
      <c r="I21" s="18">
        <f t="shared" si="1"/>
        <v>46.543833333333332</v>
      </c>
      <c r="J21" s="18">
        <f t="shared" si="1"/>
        <v>4.8550000000000004</v>
      </c>
      <c r="K21" s="18">
        <f t="shared" si="1"/>
        <v>0.12183333333333332</v>
      </c>
      <c r="L21" s="18">
        <f t="shared" si="1"/>
        <v>365.41016666666661</v>
      </c>
      <c r="M21" s="18">
        <f t="shared" si="1"/>
        <v>695.88933333333341</v>
      </c>
      <c r="N21" s="18">
        <f t="shared" si="1"/>
        <v>130.46983333333333</v>
      </c>
      <c r="O21" s="19">
        <f t="shared" si="1"/>
        <v>6.2271666666666672</v>
      </c>
    </row>
    <row r="23" spans="1:15" ht="15" thickBot="1" x14ac:dyDescent="0.35"/>
    <row r="24" spans="1:15" ht="15" thickBot="1" x14ac:dyDescent="0.35">
      <c r="A24" s="41" t="s">
        <v>80</v>
      </c>
      <c r="B24" s="42"/>
      <c r="C24" s="42"/>
      <c r="D24" s="43">
        <f t="shared" ref="D24:O24" si="2">D9+D21</f>
        <v>51.509500000000003</v>
      </c>
      <c r="E24" s="43">
        <f t="shared" si="2"/>
        <v>53.002833333333342</v>
      </c>
      <c r="F24" s="43">
        <f t="shared" si="2"/>
        <v>183.98866666666669</v>
      </c>
      <c r="G24" s="43">
        <f t="shared" si="2"/>
        <v>1364.5766666666666</v>
      </c>
      <c r="H24" s="43">
        <f t="shared" si="2"/>
        <v>0.9291666666666667</v>
      </c>
      <c r="I24" s="43">
        <f t="shared" si="2"/>
        <v>62.133833333333335</v>
      </c>
      <c r="J24" s="43">
        <f t="shared" si="2"/>
        <v>6.9583333333333339</v>
      </c>
      <c r="K24" s="43">
        <f t="shared" si="2"/>
        <v>0.58183333333333342</v>
      </c>
      <c r="L24" s="43">
        <f t="shared" si="2"/>
        <v>689.88349999999991</v>
      </c>
      <c r="M24" s="43">
        <f t="shared" si="2"/>
        <v>1061.4776666666667</v>
      </c>
      <c r="N24" s="43">
        <f t="shared" si="2"/>
        <v>197.31816666666666</v>
      </c>
      <c r="O24" s="44">
        <f t="shared" si="2"/>
        <v>9.5963333333333338</v>
      </c>
    </row>
  </sheetData>
  <mergeCells count="9">
    <mergeCell ref="D12:F12"/>
    <mergeCell ref="H12:K12"/>
    <mergeCell ref="L12:O12"/>
    <mergeCell ref="A1:O1"/>
    <mergeCell ref="A2:O2"/>
    <mergeCell ref="D3:F3"/>
    <mergeCell ref="H3:K3"/>
    <mergeCell ref="L3:O3"/>
    <mergeCell ref="A11:O11"/>
  </mergeCells>
  <pageMargins left="0.51181102362204722" right="0.11811023622047245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C22" sqref="C22"/>
    </sheetView>
  </sheetViews>
  <sheetFormatPr defaultRowHeight="14.4" x14ac:dyDescent="0.3"/>
  <cols>
    <col min="1" max="1" width="11.6640625" customWidth="1"/>
    <col min="2" max="2" width="24.6640625" bestFit="1" customWidth="1"/>
  </cols>
  <sheetData>
    <row r="1" spans="1:15" x14ac:dyDescent="0.3">
      <c r="A1" s="54" t="s">
        <v>107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" thickBot="1" x14ac:dyDescent="0.35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58.2" thickBot="1" x14ac:dyDescent="0.35">
      <c r="A3" s="10" t="s">
        <v>0</v>
      </c>
      <c r="B3" s="11" t="s">
        <v>3</v>
      </c>
      <c r="C3" s="12" t="s">
        <v>4</v>
      </c>
      <c r="D3" s="56" t="s">
        <v>5</v>
      </c>
      <c r="E3" s="56"/>
      <c r="F3" s="56"/>
      <c r="G3" s="12" t="s">
        <v>6</v>
      </c>
      <c r="H3" s="56" t="s">
        <v>7</v>
      </c>
      <c r="I3" s="56"/>
      <c r="J3" s="56"/>
      <c r="K3" s="56"/>
      <c r="L3" s="57" t="s">
        <v>8</v>
      </c>
      <c r="M3" s="56"/>
      <c r="N3" s="56"/>
      <c r="O3" s="58"/>
    </row>
    <row r="4" spans="1:15" x14ac:dyDescent="0.3">
      <c r="A4" s="4" t="s">
        <v>1</v>
      </c>
      <c r="B4" s="32"/>
      <c r="C4" s="33"/>
      <c r="D4" s="33" t="s">
        <v>9</v>
      </c>
      <c r="E4" s="33" t="s">
        <v>10</v>
      </c>
      <c r="F4" s="33" t="s">
        <v>11</v>
      </c>
      <c r="G4" s="33"/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1" t="s">
        <v>19</v>
      </c>
    </row>
    <row r="5" spans="1:15" ht="28.8" x14ac:dyDescent="0.3">
      <c r="A5" s="5">
        <v>328</v>
      </c>
      <c r="B5" s="38" t="s">
        <v>90</v>
      </c>
      <c r="C5" s="34">
        <v>200</v>
      </c>
      <c r="D5" s="16">
        <f>21.8*((100/150)*C5)/100</f>
        <v>29.066666666666666</v>
      </c>
      <c r="E5" s="16">
        <f>14.9*((100/150)*C5)/100</f>
        <v>19.866666666666664</v>
      </c>
      <c r="F5" s="16">
        <f>53.5*((100/150)*C5)/100</f>
        <v>71.333333333333314</v>
      </c>
      <c r="G5" s="16">
        <f>433.5*((100/150)*C5)/100</f>
        <v>577.99999999999989</v>
      </c>
      <c r="H5" s="16">
        <f>0.06*((100/150)*C5)/100</f>
        <v>7.9999999999999988E-2</v>
      </c>
      <c r="I5" s="16">
        <f>1.99*((100/150)*C5)/100</f>
        <v>2.6533333333333333</v>
      </c>
      <c r="J5" s="16">
        <f>0.05*((100/150)*C5)/100</f>
        <v>6.6666666666666666E-2</v>
      </c>
      <c r="K5" s="16">
        <f>0.05*((100/150)*C5)/100</f>
        <v>6.6666666666666666E-2</v>
      </c>
      <c r="L5" s="16">
        <f>100.02*((100/150)*C5)/100</f>
        <v>133.35999999999999</v>
      </c>
      <c r="M5" s="16">
        <f>89.27*((100/150)*C5)/100</f>
        <v>119.02666666666664</v>
      </c>
      <c r="N5" s="16">
        <f>14.93*((100/150)*C5)/100</f>
        <v>19.906666666666663</v>
      </c>
      <c r="O5" s="17">
        <f>0.32*((100/150)*C5)/100</f>
        <v>0.42666666666666664</v>
      </c>
    </row>
    <row r="6" spans="1:15" x14ac:dyDescent="0.3">
      <c r="A6" s="14">
        <v>38</v>
      </c>
      <c r="B6" s="40" t="s">
        <v>97</v>
      </c>
      <c r="C6" s="13">
        <v>100</v>
      </c>
      <c r="D6" s="21">
        <f>0.7*((100/60)*C6)/100</f>
        <v>1.1666666666666667</v>
      </c>
      <c r="E6" s="21">
        <f>3.07*((100/60)*C6)/100</f>
        <v>5.1166666666666671</v>
      </c>
      <c r="F6" s="21">
        <f>2.11*((100/60)*C6)/100</f>
        <v>3.5166666666666671</v>
      </c>
      <c r="G6" s="21">
        <f>39*((100/60)*C6)/100</f>
        <v>65.000000000000014</v>
      </c>
      <c r="H6" s="16">
        <f>0.03*((100/60)*C6)/100</f>
        <v>0.05</v>
      </c>
      <c r="I6" s="16">
        <f>12.5*((100/60)*C6)/100</f>
        <v>20.833333333333336</v>
      </c>
      <c r="J6" s="16">
        <f>0.02*((100/60)*C6)/100</f>
        <v>3.333333333333334E-2</v>
      </c>
      <c r="K6" s="16">
        <f>0*((100/60)*C6)/100</f>
        <v>0</v>
      </c>
      <c r="L6" s="16">
        <f>7*((100/60)*C6)/100</f>
        <v>11.666666666666668</v>
      </c>
      <c r="M6" s="16">
        <f>13*((100/60)*C6)/100</f>
        <v>21.666666666666671</v>
      </c>
      <c r="N6" s="16">
        <f>10*((100/60)*C6)/100</f>
        <v>16.666666666666671</v>
      </c>
      <c r="O6" s="17">
        <f>0.45*((100/60)*C6)/100</f>
        <v>0.75000000000000011</v>
      </c>
    </row>
    <row r="7" spans="1:15" x14ac:dyDescent="0.3">
      <c r="A7" s="5">
        <v>426</v>
      </c>
      <c r="B7" s="38" t="s">
        <v>37</v>
      </c>
      <c r="C7" s="34">
        <v>200</v>
      </c>
      <c r="D7" s="16">
        <f>4.2*((100/200)*C7)/100</f>
        <v>4.2</v>
      </c>
      <c r="E7" s="16">
        <f>4.8*((100/200)*C7)/100</f>
        <v>4.8</v>
      </c>
      <c r="F7" s="16">
        <f>7.05*((100/200)*C7)/100</f>
        <v>7.05</v>
      </c>
      <c r="G7" s="16">
        <f>87*((100/200)*C7)/100</f>
        <v>87</v>
      </c>
      <c r="H7" s="16">
        <f>0.06*((100/200)*C7)/100</f>
        <v>0.06</v>
      </c>
      <c r="I7" s="16">
        <f>1.095*((100/200)*C7)/100</f>
        <v>1.095</v>
      </c>
      <c r="J7" s="16">
        <f>0*((100/200)*C7)/100</f>
        <v>0</v>
      </c>
      <c r="K7" s="16">
        <f>0.03*((100/200)*C7)/100</f>
        <v>0.03</v>
      </c>
      <c r="L7" s="16">
        <f>160*((100/200)*C7)/100</f>
        <v>160</v>
      </c>
      <c r="M7" s="16">
        <f>135*((100/200)*C7)/100</f>
        <v>135</v>
      </c>
      <c r="N7" s="16">
        <f>11*((100/200)*C7)/100</f>
        <v>11</v>
      </c>
      <c r="O7" s="17">
        <f>0.09*((100/200)*C7)/100</f>
        <v>0.09</v>
      </c>
    </row>
    <row r="8" spans="1:15" x14ac:dyDescent="0.3">
      <c r="A8" s="5"/>
      <c r="B8" s="30" t="s">
        <v>29</v>
      </c>
      <c r="C8" s="23">
        <v>50</v>
      </c>
      <c r="D8" s="16">
        <f>5.72*((100/40)*C8)/100</f>
        <v>7.15</v>
      </c>
      <c r="E8" s="16">
        <f>3.26*((100/40)*C8)/100</f>
        <v>4.0750000000000002</v>
      </c>
      <c r="F8" s="16">
        <f>14.56*((100/40)*C8)/100</f>
        <v>18.2</v>
      </c>
      <c r="G8" s="16">
        <f>67.56*((100/40)*C8)/100</f>
        <v>84.45</v>
      </c>
      <c r="H8" s="16">
        <f>0.028*((100/40)*C8)/100</f>
        <v>3.5000000000000003E-2</v>
      </c>
      <c r="I8" s="16">
        <f>2.248*((100/40)*C8)/100</f>
        <v>2.81</v>
      </c>
      <c r="J8" s="16">
        <f>1.12*((100/40)*C8)/100</f>
        <v>1.4</v>
      </c>
      <c r="K8" s="16">
        <f>0*((100/40)*C8)/100</f>
        <v>0</v>
      </c>
      <c r="L8" s="16">
        <f>7.84*((100/40)*C8)/100</f>
        <v>9.8000000000000007</v>
      </c>
      <c r="M8" s="16">
        <f>7.676*((100/40)*C8)/100</f>
        <v>9.5950000000000006</v>
      </c>
      <c r="N8" s="16">
        <f>3.692*((100/40)*C8)/100</f>
        <v>4.6150000000000002</v>
      </c>
      <c r="O8" s="17">
        <f>0.81*((100/40)*C8)/100</f>
        <v>1.0125</v>
      </c>
    </row>
    <row r="9" spans="1:15" ht="15" thickBot="1" x14ac:dyDescent="0.35">
      <c r="A9" s="6" t="s">
        <v>2</v>
      </c>
      <c r="B9" s="35"/>
      <c r="C9" s="7"/>
      <c r="D9" s="18">
        <f t="shared" ref="D9:O9" si="0">SUM(D5:D8)</f>
        <v>41.583333333333336</v>
      </c>
      <c r="E9" s="18">
        <f t="shared" si="0"/>
        <v>33.858333333333334</v>
      </c>
      <c r="F9" s="18">
        <f t="shared" si="0"/>
        <v>100.09999999999998</v>
      </c>
      <c r="G9" s="18">
        <f t="shared" si="0"/>
        <v>814.44999999999993</v>
      </c>
      <c r="H9" s="18">
        <f t="shared" si="0"/>
        <v>0.22500000000000001</v>
      </c>
      <c r="I9" s="18">
        <f t="shared" si="0"/>
        <v>27.391666666666666</v>
      </c>
      <c r="J9" s="18">
        <f t="shared" si="0"/>
        <v>1.5</v>
      </c>
      <c r="K9" s="18">
        <f t="shared" si="0"/>
        <v>9.6666666666666665E-2</v>
      </c>
      <c r="L9" s="18">
        <f t="shared" si="0"/>
        <v>314.82666666666665</v>
      </c>
      <c r="M9" s="18">
        <f t="shared" si="0"/>
        <v>285.28833333333336</v>
      </c>
      <c r="N9" s="18">
        <f t="shared" si="0"/>
        <v>52.18833333333334</v>
      </c>
      <c r="O9" s="19">
        <f t="shared" si="0"/>
        <v>2.2791666666666668</v>
      </c>
    </row>
    <row r="11" spans="1:15" ht="15" thickBot="1" x14ac:dyDescent="0.35">
      <c r="A11" s="55" t="s">
        <v>23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58.2" thickBot="1" x14ac:dyDescent="0.35">
      <c r="A12" s="10" t="s">
        <v>0</v>
      </c>
      <c r="B12" s="11" t="s">
        <v>3</v>
      </c>
      <c r="C12" s="12" t="s">
        <v>4</v>
      </c>
      <c r="D12" s="56" t="s">
        <v>5</v>
      </c>
      <c r="E12" s="56"/>
      <c r="F12" s="56"/>
      <c r="G12" s="12" t="s">
        <v>6</v>
      </c>
      <c r="H12" s="56" t="s">
        <v>7</v>
      </c>
      <c r="I12" s="56"/>
      <c r="J12" s="56"/>
      <c r="K12" s="56"/>
      <c r="L12" s="57" t="s">
        <v>8</v>
      </c>
      <c r="M12" s="56"/>
      <c r="N12" s="56"/>
      <c r="O12" s="58"/>
    </row>
    <row r="13" spans="1:15" x14ac:dyDescent="0.3">
      <c r="A13" s="45" t="s">
        <v>1</v>
      </c>
      <c r="B13" s="32"/>
      <c r="C13" s="33"/>
      <c r="D13" s="33" t="s">
        <v>9</v>
      </c>
      <c r="E13" s="33" t="s">
        <v>10</v>
      </c>
      <c r="F13" s="33" t="s">
        <v>11</v>
      </c>
      <c r="G13" s="33"/>
      <c r="H13" s="33" t="s">
        <v>12</v>
      </c>
      <c r="I13" s="33" t="s">
        <v>13</v>
      </c>
      <c r="J13" s="33" t="s">
        <v>14</v>
      </c>
      <c r="K13" s="33" t="s">
        <v>15</v>
      </c>
      <c r="L13" s="33" t="s">
        <v>16</v>
      </c>
      <c r="M13" s="33" t="s">
        <v>17</v>
      </c>
      <c r="N13" s="33" t="s">
        <v>18</v>
      </c>
      <c r="O13" s="31" t="s">
        <v>19</v>
      </c>
    </row>
    <row r="14" spans="1:15" ht="28.8" x14ac:dyDescent="0.3">
      <c r="A14" s="46">
        <v>143</v>
      </c>
      <c r="B14" s="38" t="s">
        <v>38</v>
      </c>
      <c r="C14" s="34">
        <v>250</v>
      </c>
      <c r="D14" s="16">
        <f>7.14*((100/250)*C14)/100</f>
        <v>7.14</v>
      </c>
      <c r="E14" s="16">
        <f>5.25*((100/250)*C14)/100</f>
        <v>5.25</v>
      </c>
      <c r="F14" s="16">
        <f>15.52*((100/250)*C14)/100</f>
        <v>15.52</v>
      </c>
      <c r="G14" s="16">
        <f>140*((100/250)*C14)/100</f>
        <v>140</v>
      </c>
      <c r="H14" s="16">
        <f>0.08*((100/250)*C14)/100</f>
        <v>0.08</v>
      </c>
      <c r="I14" s="16">
        <f>1.89*((100/250)*C14)/100</f>
        <v>1.89</v>
      </c>
      <c r="J14" s="16">
        <f>0.08*((100/250)*C14)/100</f>
        <v>0.08</v>
      </c>
      <c r="K14" s="16">
        <f>0.02*((100/250)*C14)/100</f>
        <v>0.02</v>
      </c>
      <c r="L14" s="16">
        <f>16.94*((100/250)*C14)/100</f>
        <v>16.940000000000001</v>
      </c>
      <c r="M14" s="16">
        <f>85.7*((100/250)*C14)/100</f>
        <v>85.7</v>
      </c>
      <c r="N14" s="16">
        <f>20.27*((100/250)*C14)/100</f>
        <v>20.27</v>
      </c>
      <c r="O14" s="17">
        <f>3.08*((100/250)*C14)/100</f>
        <v>3.08</v>
      </c>
    </row>
    <row r="15" spans="1:15" x14ac:dyDescent="0.3">
      <c r="A15" s="46">
        <v>439</v>
      </c>
      <c r="B15" s="30" t="s">
        <v>89</v>
      </c>
      <c r="C15" s="34">
        <v>180</v>
      </c>
      <c r="D15" s="16">
        <f>3.5*((100/150)*C15)/100</f>
        <v>4.2</v>
      </c>
      <c r="E15" s="16">
        <f>4.5*((100/150)*C15)/100</f>
        <v>5.4</v>
      </c>
      <c r="F15" s="16">
        <f>15.09*((100/150)*C15)/100</f>
        <v>18.108000000000001</v>
      </c>
      <c r="G15" s="16">
        <f>115.5*((100/150)*C15)/100</f>
        <v>138.6</v>
      </c>
      <c r="H15" s="16">
        <f>0.25*((100/150)*C15)/100</f>
        <v>0.3</v>
      </c>
      <c r="I15" s="16">
        <f>0*((100/150)*C15)/100</f>
        <v>0</v>
      </c>
      <c r="J15" s="16">
        <f>0*((100/150)*C15)/100</f>
        <v>0</v>
      </c>
      <c r="K15" s="16">
        <f>0*((100/150)*C15)/100</f>
        <v>0</v>
      </c>
      <c r="L15" s="16">
        <f>14.24*((100/150)*C15)/100</f>
        <v>17.088000000000001</v>
      </c>
      <c r="M15" s="16">
        <f>207.47*((100/150)*C15)/100</f>
        <v>248.96400000000003</v>
      </c>
      <c r="N15" s="16">
        <f>35.72*((100/150)*C15)/100</f>
        <v>42.863999999999997</v>
      </c>
      <c r="O15" s="17">
        <f>2.67*((100/150)*C15)/100</f>
        <v>3.2039999999999997</v>
      </c>
    </row>
    <row r="16" spans="1:15" x14ac:dyDescent="0.3">
      <c r="A16" s="46">
        <v>207</v>
      </c>
      <c r="B16" s="38" t="s">
        <v>39</v>
      </c>
      <c r="C16" s="34">
        <v>100</v>
      </c>
      <c r="D16" s="16">
        <f>12.97*((100/80)*C16)/100</f>
        <v>16.212499999999999</v>
      </c>
      <c r="E16" s="16">
        <f>5.9*((100/80)*C16)/100</f>
        <v>7.375</v>
      </c>
      <c r="F16" s="16">
        <f>0.9*((100/80)*C16)/100</f>
        <v>1.125</v>
      </c>
      <c r="G16" s="16">
        <f>167.2*((100/80)*C16)/100</f>
        <v>209</v>
      </c>
      <c r="H16" s="16">
        <f>0.08*((100/80)*C16)/100</f>
        <v>0.1</v>
      </c>
      <c r="I16" s="16">
        <f>0.24*((100/80)*C16)/100</f>
        <v>0.3</v>
      </c>
      <c r="J16" s="16">
        <f>0*((100/80)*C16)/100</f>
        <v>0</v>
      </c>
      <c r="K16" s="16">
        <f>0.08*((100/80)*C16)/100</f>
        <v>0.1</v>
      </c>
      <c r="L16" s="16">
        <f>35.01*((100/80)*C16)/100</f>
        <v>43.762500000000003</v>
      </c>
      <c r="M16" s="16">
        <f>220.27*((100/80)*C16)/100</f>
        <v>275.33749999999998</v>
      </c>
      <c r="N16" s="16">
        <f>24.74*((100/80)*C16)/100</f>
        <v>30.925000000000001</v>
      </c>
      <c r="O16" s="17">
        <f>0.89*((100/80)*C16)/100</f>
        <v>1.1125</v>
      </c>
    </row>
    <row r="17" spans="1:15" x14ac:dyDescent="0.3">
      <c r="A17" s="46">
        <v>26</v>
      </c>
      <c r="B17" s="30" t="s">
        <v>87</v>
      </c>
      <c r="C17" s="34">
        <v>60</v>
      </c>
      <c r="D17" s="16">
        <f>0.69*((100/60)*C17)/100</f>
        <v>0.69</v>
      </c>
      <c r="E17" s="16">
        <f>0.12*((100/60)*C17)/100</f>
        <v>0.12</v>
      </c>
      <c r="F17" s="16">
        <f>4.43*((100/60)*C17)/100</f>
        <v>4.43</v>
      </c>
      <c r="G17" s="16">
        <f>22*((100/60)*C17)/100</f>
        <v>22</v>
      </c>
      <c r="H17" s="16">
        <f>0.01*((100/60)*C17)/100</f>
        <v>0.01</v>
      </c>
      <c r="I17" s="16">
        <f>14.42*((100/60)*C17)/100</f>
        <v>14.42</v>
      </c>
      <c r="J17" s="16">
        <f>0.67*((100/60)*C17)/100</f>
        <v>0.67</v>
      </c>
      <c r="K17" s="16">
        <f>0.15*((100/60)*C17)/100</f>
        <v>0.15</v>
      </c>
      <c r="L17" s="16">
        <f>15.69*((100/60)*C17)/100</f>
        <v>15.69</v>
      </c>
      <c r="M17" s="16">
        <f>21.06*((100/60)*C17)/100</f>
        <v>21.06</v>
      </c>
      <c r="N17" s="16">
        <f>10.92*((100/60)*C17)/100</f>
        <v>10.92</v>
      </c>
      <c r="O17" s="17">
        <f>0.61*((100/60)*C17)/100</f>
        <v>0.61</v>
      </c>
    </row>
    <row r="18" spans="1:15" x14ac:dyDescent="0.3">
      <c r="A18" s="47">
        <v>395</v>
      </c>
      <c r="B18" s="40" t="s">
        <v>40</v>
      </c>
      <c r="C18" s="13">
        <v>200</v>
      </c>
      <c r="D18" s="21">
        <f>0*((100/200)*C18)/100</f>
        <v>0</v>
      </c>
      <c r="E18" s="21">
        <f>0*((100/200)*C18)/100</f>
        <v>0</v>
      </c>
      <c r="F18" s="21">
        <f>9.98*((100/200)*C18)/100</f>
        <v>9.98</v>
      </c>
      <c r="G18" s="21">
        <f>104*((100/200)*C18)/100</f>
        <v>104</v>
      </c>
      <c r="H18" s="21">
        <f>0*((100/200)*C18)/100</f>
        <v>0</v>
      </c>
      <c r="I18" s="21">
        <f>0*((100/200)*C18)/100</f>
        <v>0</v>
      </c>
      <c r="J18" s="21">
        <f>0.18*((100/200)*C18)/100</f>
        <v>0.18</v>
      </c>
      <c r="K18" s="21">
        <f>0*((100/200)*C18)/100</f>
        <v>0</v>
      </c>
      <c r="L18" s="21">
        <f>0.2*((100/200)*C18)/100</f>
        <v>0.2</v>
      </c>
      <c r="M18" s="21">
        <f>0*((100/200)*C18)/100</f>
        <v>0</v>
      </c>
      <c r="N18" s="21">
        <f>0*((100/200)*C18)/100</f>
        <v>0</v>
      </c>
      <c r="O18" s="22">
        <f>0.31*((100/200)*C18)/100</f>
        <v>0.31</v>
      </c>
    </row>
    <row r="19" spans="1:15" x14ac:dyDescent="0.3">
      <c r="A19" s="48"/>
      <c r="B19" s="39" t="s">
        <v>29</v>
      </c>
      <c r="C19" s="13">
        <v>40</v>
      </c>
      <c r="D19" s="21">
        <f>7.15*((100/50)*C19)/100</f>
        <v>5.72</v>
      </c>
      <c r="E19" s="21">
        <f>4.075*((100/50)*C19)/100</f>
        <v>3.26</v>
      </c>
      <c r="F19" s="21">
        <f>18.2*((100/50)*C19)/100</f>
        <v>14.56</v>
      </c>
      <c r="G19" s="21">
        <f>84.45*((100/50)*C19)/100</f>
        <v>67.56</v>
      </c>
      <c r="H19" s="21">
        <f>0.03*((100/50)*C19)/100</f>
        <v>2.4E-2</v>
      </c>
      <c r="I19" s="21">
        <f>3.56*((100/50)*C19)/100</f>
        <v>2.8480000000000003</v>
      </c>
      <c r="J19" s="21">
        <f>1.52*((100/50)*C19)/100</f>
        <v>1.216</v>
      </c>
      <c r="K19" s="21">
        <f>0*((100/50)*C19)/100</f>
        <v>0</v>
      </c>
      <c r="L19" s="21">
        <f>9.8*((100/50)*C19)/100</f>
        <v>7.84</v>
      </c>
      <c r="M19" s="21">
        <f>35.6*((100/50)*C19)/100</f>
        <v>28.48</v>
      </c>
      <c r="N19" s="21">
        <f>3.9*((100/50)*C19)/100</f>
        <v>3.12</v>
      </c>
      <c r="O19" s="22">
        <f>0.16*((100/50)*C19)/100</f>
        <v>0.128</v>
      </c>
    </row>
    <row r="20" spans="1:15" x14ac:dyDescent="0.3">
      <c r="A20" s="48"/>
      <c r="B20" s="40" t="s">
        <v>30</v>
      </c>
      <c r="C20" s="13">
        <v>50</v>
      </c>
      <c r="D20" s="21">
        <f>1.432*((100/40)*C20)/100</f>
        <v>1.79</v>
      </c>
      <c r="E20" s="21">
        <f>0.336*((100/40)*C20)/100</f>
        <v>0.42</v>
      </c>
      <c r="F20" s="21">
        <f>16.92*((100/40)*C20)/100</f>
        <v>21.15</v>
      </c>
      <c r="G20" s="21">
        <f>77.04*((100/40)*C20)/100</f>
        <v>96.3</v>
      </c>
      <c r="H20" s="21">
        <f>0.06*((100/40)*C20)/100</f>
        <v>7.4999999999999997E-2</v>
      </c>
      <c r="I20" s="36">
        <f>0*((100/40)*C20)/100</f>
        <v>0</v>
      </c>
      <c r="J20" s="21">
        <f>1.52*((100/40)*C20)/100</f>
        <v>1.9</v>
      </c>
      <c r="K20" s="36">
        <f>0*((100/40)*C20)/100</f>
        <v>0</v>
      </c>
      <c r="L20" s="21">
        <f>14.4*((100/40)*C20)/100</f>
        <v>18</v>
      </c>
      <c r="M20" s="21">
        <f>0.872*((100/40)*C20)/100</f>
        <v>1.0900000000000001</v>
      </c>
      <c r="N20" s="21">
        <f>8.92*((100/40)*C20)/100</f>
        <v>11.15</v>
      </c>
      <c r="O20" s="22">
        <f>0.36*((100/40)*C20)/100</f>
        <v>0.45</v>
      </c>
    </row>
    <row r="21" spans="1:15" ht="15" thickBot="1" x14ac:dyDescent="0.35">
      <c r="A21" s="49" t="s">
        <v>2</v>
      </c>
      <c r="B21" s="35"/>
      <c r="C21" s="7"/>
      <c r="D21" s="18">
        <f t="shared" ref="D21:O21" si="1">SUM(D14:D20)</f>
        <v>35.752499999999998</v>
      </c>
      <c r="E21" s="18">
        <f t="shared" si="1"/>
        <v>21.825000000000003</v>
      </c>
      <c r="F21" s="18">
        <f t="shared" si="1"/>
        <v>84.87299999999999</v>
      </c>
      <c r="G21" s="18">
        <f t="shared" si="1"/>
        <v>777.46</v>
      </c>
      <c r="H21" s="18">
        <f t="shared" si="1"/>
        <v>0.58899999999999997</v>
      </c>
      <c r="I21" s="18">
        <f t="shared" si="1"/>
        <v>19.457999999999998</v>
      </c>
      <c r="J21" s="18">
        <f t="shared" si="1"/>
        <v>4.0459999999999994</v>
      </c>
      <c r="K21" s="18">
        <f t="shared" si="1"/>
        <v>0.27</v>
      </c>
      <c r="L21" s="18">
        <f t="shared" si="1"/>
        <v>119.52050000000001</v>
      </c>
      <c r="M21" s="18">
        <f t="shared" si="1"/>
        <v>660.63150000000007</v>
      </c>
      <c r="N21" s="18">
        <f t="shared" si="1"/>
        <v>119.24900000000001</v>
      </c>
      <c r="O21" s="19">
        <f t="shared" si="1"/>
        <v>8.894499999999999</v>
      </c>
    </row>
    <row r="23" spans="1:15" ht="15" thickBot="1" x14ac:dyDescent="0.35"/>
    <row r="24" spans="1:15" ht="15" thickBot="1" x14ac:dyDescent="0.35">
      <c r="A24" s="41" t="s">
        <v>80</v>
      </c>
      <c r="B24" s="42"/>
      <c r="C24" s="42"/>
      <c r="D24" s="43">
        <f t="shared" ref="D24:O24" si="2">D9+D21</f>
        <v>77.335833333333341</v>
      </c>
      <c r="E24" s="43">
        <f t="shared" si="2"/>
        <v>55.683333333333337</v>
      </c>
      <c r="F24" s="43">
        <f t="shared" si="2"/>
        <v>184.97299999999996</v>
      </c>
      <c r="G24" s="43">
        <f t="shared" si="2"/>
        <v>1591.9099999999999</v>
      </c>
      <c r="H24" s="43">
        <f t="shared" si="2"/>
        <v>0.81399999999999995</v>
      </c>
      <c r="I24" s="43">
        <f t="shared" si="2"/>
        <v>46.849666666666664</v>
      </c>
      <c r="J24" s="43">
        <f t="shared" si="2"/>
        <v>5.5459999999999994</v>
      </c>
      <c r="K24" s="43">
        <f t="shared" si="2"/>
        <v>0.3666666666666667</v>
      </c>
      <c r="L24" s="43">
        <f t="shared" si="2"/>
        <v>434.34716666666668</v>
      </c>
      <c r="M24" s="43">
        <f t="shared" si="2"/>
        <v>945.91983333333337</v>
      </c>
      <c r="N24" s="43">
        <f t="shared" si="2"/>
        <v>171.43733333333336</v>
      </c>
      <c r="O24" s="44">
        <f t="shared" si="2"/>
        <v>11.173666666666666</v>
      </c>
    </row>
  </sheetData>
  <mergeCells count="9">
    <mergeCell ref="D12:F12"/>
    <mergeCell ref="H12:K12"/>
    <mergeCell ref="L12:O12"/>
    <mergeCell ref="A1:O1"/>
    <mergeCell ref="A2:O2"/>
    <mergeCell ref="D3:F3"/>
    <mergeCell ref="H3:K3"/>
    <mergeCell ref="L3:O3"/>
    <mergeCell ref="A11:O11"/>
  </mergeCells>
  <pageMargins left="0.51181102362204722" right="0.11811023622047245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2" workbookViewId="0">
      <selection activeCell="C23" sqref="C23"/>
    </sheetView>
  </sheetViews>
  <sheetFormatPr defaultRowHeight="14.4" x14ac:dyDescent="0.3"/>
  <cols>
    <col min="1" max="1" width="10.88671875" customWidth="1"/>
    <col min="2" max="2" width="20.88671875" bestFit="1" customWidth="1"/>
  </cols>
  <sheetData>
    <row r="1" spans="1:15" x14ac:dyDescent="0.3">
      <c r="A1" s="54" t="s">
        <v>108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" thickBot="1" x14ac:dyDescent="0.35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58.2" thickBot="1" x14ac:dyDescent="0.35">
      <c r="A3" s="10" t="s">
        <v>0</v>
      </c>
      <c r="B3" s="11" t="s">
        <v>3</v>
      </c>
      <c r="C3" s="12" t="s">
        <v>4</v>
      </c>
      <c r="D3" s="56" t="s">
        <v>5</v>
      </c>
      <c r="E3" s="56"/>
      <c r="F3" s="56"/>
      <c r="G3" s="12" t="s">
        <v>6</v>
      </c>
      <c r="H3" s="56" t="s">
        <v>7</v>
      </c>
      <c r="I3" s="56"/>
      <c r="J3" s="56"/>
      <c r="K3" s="56"/>
      <c r="L3" s="57" t="s">
        <v>8</v>
      </c>
      <c r="M3" s="56"/>
      <c r="N3" s="56"/>
      <c r="O3" s="58"/>
    </row>
    <row r="4" spans="1:15" x14ac:dyDescent="0.3">
      <c r="A4" s="4" t="s">
        <v>1</v>
      </c>
      <c r="B4" s="32"/>
      <c r="C4" s="33"/>
      <c r="D4" s="33" t="s">
        <v>9</v>
      </c>
      <c r="E4" s="33" t="s">
        <v>10</v>
      </c>
      <c r="F4" s="33" t="s">
        <v>11</v>
      </c>
      <c r="G4" s="33"/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1" t="s">
        <v>19</v>
      </c>
    </row>
    <row r="5" spans="1:15" x14ac:dyDescent="0.3">
      <c r="A5" s="5">
        <v>265</v>
      </c>
      <c r="B5" s="38" t="s">
        <v>88</v>
      </c>
      <c r="C5" s="34">
        <v>200</v>
      </c>
      <c r="D5" s="16">
        <f>9.1*((100/150)*C5)/100</f>
        <v>12.133333333333331</v>
      </c>
      <c r="E5" s="16">
        <f>11.2*((100/150)*C5)/100</f>
        <v>14.93333333333333</v>
      </c>
      <c r="F5" s="16">
        <f>35.97*((100/150)*C5)/100</f>
        <v>47.959999999999994</v>
      </c>
      <c r="G5" s="16">
        <f>286.5*((100/150)*C5)/100</f>
        <v>381.99999999999994</v>
      </c>
      <c r="H5" s="16">
        <f>0.11*((100/150)*C5)/100</f>
        <v>0.14666666666666664</v>
      </c>
      <c r="I5" s="16">
        <f>1.16*((100/150)*C5)/100</f>
        <v>1.5466666666666662</v>
      </c>
      <c r="J5" s="16">
        <f>0.4*((100/150)*C5)/100</f>
        <v>0.53333333333333333</v>
      </c>
      <c r="K5" s="16">
        <f>0.14*((100/150)*C5)/100</f>
        <v>0.18666666666666665</v>
      </c>
      <c r="L5" s="16">
        <f>481.27*((100/150)*C5)/100</f>
        <v>641.69333333333316</v>
      </c>
      <c r="M5" s="16">
        <f>432.77*((100/150)*C5)/100</f>
        <v>577.02666666666653</v>
      </c>
      <c r="N5" s="16">
        <f>32.7*((100/150)*C5)/100</f>
        <v>43.6</v>
      </c>
      <c r="O5" s="17">
        <f>0.12*((100/150)*C5)/100</f>
        <v>0.15999999999999998</v>
      </c>
    </row>
    <row r="6" spans="1:15" x14ac:dyDescent="0.3">
      <c r="A6" s="5">
        <v>433</v>
      </c>
      <c r="B6" s="30" t="s">
        <v>28</v>
      </c>
      <c r="C6" s="34">
        <v>200</v>
      </c>
      <c r="D6" s="16">
        <f>0.26*((100/200)*C6)/100</f>
        <v>0.26</v>
      </c>
      <c r="E6" s="16">
        <f>0.05*((100/200)*C6)/100</f>
        <v>0.05</v>
      </c>
      <c r="F6" s="16">
        <f>15.22*((100/200)*C6)/100</f>
        <v>15.22</v>
      </c>
      <c r="G6" s="16">
        <f>59*((100/200)*C6)/100</f>
        <v>59</v>
      </c>
      <c r="H6" s="16">
        <f>0.08*((100/200)*C6)/100</f>
        <v>0.08</v>
      </c>
      <c r="I6" s="16">
        <f>0.74*((100/200)*C6)/100</f>
        <v>0.74</v>
      </c>
      <c r="J6" s="16">
        <f>0.16*((100/200)*C6)/100</f>
        <v>0.16</v>
      </c>
      <c r="K6" s="16">
        <f>0.04*((100/200)*C6)/100</f>
        <v>0.04</v>
      </c>
      <c r="L6" s="16">
        <f>223.2*((100/200)*C6)/100</f>
        <v>223.2</v>
      </c>
      <c r="M6" s="16">
        <f>189.9*((100/200)*C6)/100</f>
        <v>189.9</v>
      </c>
      <c r="N6" s="16">
        <f>29.54*((100/200)*C6)/100</f>
        <v>29.54</v>
      </c>
      <c r="O6" s="17">
        <f>0.12*((100/200)*C6)/100</f>
        <v>0.12</v>
      </c>
    </row>
    <row r="7" spans="1:15" ht="28.8" x14ac:dyDescent="0.3">
      <c r="A7" s="5">
        <v>11</v>
      </c>
      <c r="B7" s="38" t="s">
        <v>91</v>
      </c>
      <c r="C7" s="34">
        <v>100</v>
      </c>
      <c r="D7" s="16">
        <f>0.74*((100/60)*C7)/100</f>
        <v>1.2333333333333334</v>
      </c>
      <c r="E7" s="16">
        <f>0.05*((100/60)*C7)/100</f>
        <v>8.3333333333333343E-2</v>
      </c>
      <c r="F7" s="16">
        <f>7.14*((100/60)*C7)/100</f>
        <v>11.9</v>
      </c>
      <c r="G7" s="16">
        <f>31*((100/60)*C7)/100</f>
        <v>51.666666666666671</v>
      </c>
      <c r="H7" s="16">
        <f>0.02*((100/60)*C7)/100</f>
        <v>3.333333333333334E-2</v>
      </c>
      <c r="I7" s="16">
        <f>4.41*((100/60)*C7)/100</f>
        <v>7.3500000000000014</v>
      </c>
      <c r="J7" s="16">
        <f>0*((100/60)*C7)/100</f>
        <v>0</v>
      </c>
      <c r="K7" s="16">
        <f>0*((100/60)*C7)/100</f>
        <v>0</v>
      </c>
      <c r="L7" s="16">
        <f>38.97*((100/60)*C7)/100</f>
        <v>64.95</v>
      </c>
      <c r="M7" s="16">
        <f>59.19*((100/60)*C7)/100</f>
        <v>98.65</v>
      </c>
      <c r="N7" s="16">
        <f>19.23*((100/60)*C7)/100</f>
        <v>32.050000000000004</v>
      </c>
      <c r="O7" s="17">
        <f>0.46*((100/60)*C7)/100</f>
        <v>0.76666666666666683</v>
      </c>
    </row>
    <row r="8" spans="1:15" x14ac:dyDescent="0.3">
      <c r="A8" s="5"/>
      <c r="B8" s="30" t="s">
        <v>29</v>
      </c>
      <c r="C8" s="23">
        <v>50</v>
      </c>
      <c r="D8" s="16">
        <f>5.72*((100/40)*C8)/100</f>
        <v>7.15</v>
      </c>
      <c r="E8" s="16">
        <f>3.26*((100/40)*C8)/100</f>
        <v>4.0750000000000002</v>
      </c>
      <c r="F8" s="16">
        <f>14.56*((100/40)*C8)/100</f>
        <v>18.2</v>
      </c>
      <c r="G8" s="16">
        <f>67.56*((100/40)*C8)/100</f>
        <v>84.45</v>
      </c>
      <c r="H8" s="16">
        <f>0.028*((100/40)*C8)/100</f>
        <v>3.5000000000000003E-2</v>
      </c>
      <c r="I8" s="16">
        <f>2.248*((100/40)*C8)/100</f>
        <v>2.81</v>
      </c>
      <c r="J8" s="16">
        <f>1.12*((100/40)*C8)/100</f>
        <v>1.4</v>
      </c>
      <c r="K8" s="16">
        <f>0*((100/40)*C8)/100</f>
        <v>0</v>
      </c>
      <c r="L8" s="16">
        <f>7.84*((100/40)*C8)/100</f>
        <v>9.8000000000000007</v>
      </c>
      <c r="M8" s="16">
        <f>7.676*((100/40)*C8)/100</f>
        <v>9.5950000000000006</v>
      </c>
      <c r="N8" s="16">
        <f>3.692*((100/40)*C8)/100</f>
        <v>4.6150000000000002</v>
      </c>
      <c r="O8" s="17">
        <f>0.81*((100/40)*C8)/100</f>
        <v>1.0125</v>
      </c>
    </row>
    <row r="9" spans="1:15" ht="15" thickBot="1" x14ac:dyDescent="0.35">
      <c r="A9" s="6" t="s">
        <v>2</v>
      </c>
      <c r="B9" s="35"/>
      <c r="C9" s="7"/>
      <c r="D9" s="18">
        <f t="shared" ref="D9:O9" si="0">SUM(D5:D8)</f>
        <v>20.776666666666664</v>
      </c>
      <c r="E9" s="18">
        <f t="shared" si="0"/>
        <v>19.141666666666666</v>
      </c>
      <c r="F9" s="18">
        <f t="shared" si="0"/>
        <v>93.28</v>
      </c>
      <c r="G9" s="18">
        <f t="shared" si="0"/>
        <v>577.11666666666667</v>
      </c>
      <c r="H9" s="18">
        <f t="shared" si="0"/>
        <v>0.29499999999999993</v>
      </c>
      <c r="I9" s="18">
        <f t="shared" si="0"/>
        <v>12.446666666666667</v>
      </c>
      <c r="J9" s="18">
        <f t="shared" si="0"/>
        <v>2.0933333333333333</v>
      </c>
      <c r="K9" s="18">
        <f t="shared" si="0"/>
        <v>0.22666666666666666</v>
      </c>
      <c r="L9" s="18">
        <f t="shared" si="0"/>
        <v>939.6433333333332</v>
      </c>
      <c r="M9" s="18">
        <f t="shared" si="0"/>
        <v>875.17166666666651</v>
      </c>
      <c r="N9" s="18">
        <f t="shared" si="0"/>
        <v>109.80499999999999</v>
      </c>
      <c r="O9" s="19">
        <f t="shared" si="0"/>
        <v>2.059166666666667</v>
      </c>
    </row>
    <row r="11" spans="1:15" ht="15" thickBot="1" x14ac:dyDescent="0.35">
      <c r="A11" s="55" t="s">
        <v>23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58.2" thickBot="1" x14ac:dyDescent="0.35">
      <c r="A12" s="10" t="s">
        <v>0</v>
      </c>
      <c r="B12" s="11" t="s">
        <v>3</v>
      </c>
      <c r="C12" s="12" t="s">
        <v>4</v>
      </c>
      <c r="D12" s="56" t="s">
        <v>5</v>
      </c>
      <c r="E12" s="56"/>
      <c r="F12" s="56"/>
      <c r="G12" s="12" t="s">
        <v>6</v>
      </c>
      <c r="H12" s="56" t="s">
        <v>7</v>
      </c>
      <c r="I12" s="56"/>
      <c r="J12" s="56"/>
      <c r="K12" s="56"/>
      <c r="L12" s="57" t="s">
        <v>8</v>
      </c>
      <c r="M12" s="56"/>
      <c r="N12" s="56"/>
      <c r="O12" s="58"/>
    </row>
    <row r="13" spans="1:15" x14ac:dyDescent="0.3">
      <c r="A13" s="45" t="s">
        <v>1</v>
      </c>
      <c r="B13" s="32"/>
      <c r="C13" s="33"/>
      <c r="D13" s="33" t="s">
        <v>9</v>
      </c>
      <c r="E13" s="33" t="s">
        <v>10</v>
      </c>
      <c r="F13" s="33" t="s">
        <v>11</v>
      </c>
      <c r="G13" s="33"/>
      <c r="H13" s="33" t="s">
        <v>12</v>
      </c>
      <c r="I13" s="33" t="s">
        <v>13</v>
      </c>
      <c r="J13" s="33" t="s">
        <v>14</v>
      </c>
      <c r="K13" s="33" t="s">
        <v>15</v>
      </c>
      <c r="L13" s="33" t="s">
        <v>16</v>
      </c>
      <c r="M13" s="33" t="s">
        <v>17</v>
      </c>
      <c r="N13" s="33" t="s">
        <v>18</v>
      </c>
      <c r="O13" s="31" t="s">
        <v>19</v>
      </c>
    </row>
    <row r="14" spans="1:15" x14ac:dyDescent="0.3">
      <c r="A14" s="46">
        <v>31</v>
      </c>
      <c r="B14" s="38" t="s">
        <v>41</v>
      </c>
      <c r="C14" s="34">
        <v>100</v>
      </c>
      <c r="D14" s="16">
        <f>2.62*((100/60)*C14)/100</f>
        <v>4.3666666666666671</v>
      </c>
      <c r="E14" s="16">
        <f>0.04*((100/60)*C14)/100</f>
        <v>6.666666666666668E-2</v>
      </c>
      <c r="F14" s="16">
        <f>7.42*((100/60)*C14)/100</f>
        <v>12.366666666666667</v>
      </c>
      <c r="G14" s="16">
        <f>43*((100/60)*C14)/100</f>
        <v>71.666666666666686</v>
      </c>
      <c r="H14" s="16">
        <f>0.01*((100/60)*C14)/100</f>
        <v>1.666666666666667E-2</v>
      </c>
      <c r="I14" s="16">
        <f>7.87*((100/60)*C14)/100</f>
        <v>13.116666666666667</v>
      </c>
      <c r="J14" s="16">
        <f>1.59*((100/60)*C14)/100</f>
        <v>2.6500000000000004</v>
      </c>
      <c r="K14" s="16">
        <f>0.01*((100/60)*C14)/100</f>
        <v>1.666666666666667E-2</v>
      </c>
      <c r="L14" s="16">
        <f>13.97*((100/60)*C14)/100</f>
        <v>23.283333333333335</v>
      </c>
      <c r="M14" s="16">
        <f>14.22*((100/60)*C14)/100</f>
        <v>23.700000000000003</v>
      </c>
      <c r="N14" s="16">
        <f>8.78*((100/60)*C14)/100</f>
        <v>14.633333333333335</v>
      </c>
      <c r="O14" s="17">
        <f>0.37*((100/60)*C14)/100</f>
        <v>0.6166666666666667</v>
      </c>
    </row>
    <row r="15" spans="1:15" x14ac:dyDescent="0.3">
      <c r="A15" s="50">
        <v>115</v>
      </c>
      <c r="B15" s="40" t="s">
        <v>59</v>
      </c>
      <c r="C15" s="13">
        <v>250</v>
      </c>
      <c r="D15" s="21">
        <f>2.02*((100/250)*C15)/100</f>
        <v>2.02</v>
      </c>
      <c r="E15" s="21">
        <f>5.37*((100/250)*C15)/100</f>
        <v>5.37</v>
      </c>
      <c r="F15" s="21">
        <f>11.4*((100/250)*C15)/100</f>
        <v>11.4</v>
      </c>
      <c r="G15" s="21">
        <f>104*((100/250)*C15)/100</f>
        <v>104</v>
      </c>
      <c r="H15" s="21">
        <f>0.14*((100/250)*C15)/100</f>
        <v>0.14000000000000001</v>
      </c>
      <c r="I15" s="21">
        <f>4*((100/250)*C15)/100</f>
        <v>4</v>
      </c>
      <c r="J15" s="21">
        <f>0*((100/250)*C15)/100</f>
        <v>0</v>
      </c>
      <c r="K15" s="21">
        <f>0.02*((100/250)*C15)/100</f>
        <v>0.02</v>
      </c>
      <c r="L15" s="21">
        <f>12.89*((100/250)*C15)/100</f>
        <v>12.89</v>
      </c>
      <c r="M15" s="21">
        <f>126.7*((100/250)*C15)/100</f>
        <v>126.7</v>
      </c>
      <c r="N15" s="21">
        <f>17.15*((100/250)*C15)/100</f>
        <v>17.149999999999999</v>
      </c>
      <c r="O15" s="22">
        <f>1.27*((100/250)*C15)/100</f>
        <v>1.27</v>
      </c>
    </row>
    <row r="16" spans="1:15" x14ac:dyDescent="0.3">
      <c r="A16" s="46">
        <v>152</v>
      </c>
      <c r="B16" s="38" t="s">
        <v>26</v>
      </c>
      <c r="C16" s="34">
        <v>100</v>
      </c>
      <c r="D16" s="16">
        <f>1.648*((100/80)*C16)/100</f>
        <v>2.06</v>
      </c>
      <c r="E16" s="16">
        <f>8.992*((100/80)*C16)/100</f>
        <v>11.24</v>
      </c>
      <c r="F16" s="16">
        <f>7.184*((100/80)*C16)/100</f>
        <v>8.98</v>
      </c>
      <c r="G16" s="16">
        <f>156.8*((100/80)*C16)/100</f>
        <v>196</v>
      </c>
      <c r="H16" s="16">
        <f>0.1*((100/80)*C16)/100</f>
        <v>0.125</v>
      </c>
      <c r="I16" s="16">
        <f>5.7*((100/80)*C16)/100</f>
        <v>7.125</v>
      </c>
      <c r="J16" s="16">
        <f>0*((100/80)*C16)/100</f>
        <v>0</v>
      </c>
      <c r="K16" s="16">
        <f>0.02*((100/80)*C16)/100</f>
        <v>2.5000000000000001E-2</v>
      </c>
      <c r="L16" s="16">
        <f>45.79*((100/80)*C16)/100</f>
        <v>57.237499999999997</v>
      </c>
      <c r="M16" s="16">
        <f>253.9*((100/80)*C16)/100</f>
        <v>317.375</v>
      </c>
      <c r="N16" s="16">
        <f>19.8*((100/80)*C16)/100</f>
        <v>24.75</v>
      </c>
      <c r="O16" s="17">
        <f>0.6*((100/80)*C16)/100</f>
        <v>0.75</v>
      </c>
    </row>
    <row r="17" spans="1:15" x14ac:dyDescent="0.3">
      <c r="A17" s="46">
        <v>445</v>
      </c>
      <c r="B17" s="38" t="s">
        <v>53</v>
      </c>
      <c r="C17" s="23">
        <v>180</v>
      </c>
      <c r="D17" s="16">
        <f>4.75*((100/150)*C17)/100</f>
        <v>5.7</v>
      </c>
      <c r="E17" s="16">
        <f>9.62*((100/150)*C17)/100</f>
        <v>11.543999999999999</v>
      </c>
      <c r="F17" s="16">
        <f>43.07*((100/150)*C17)/100</f>
        <v>51.683999999999997</v>
      </c>
      <c r="G17" s="16">
        <f>220*((100/150)*C17)/100</f>
        <v>264</v>
      </c>
      <c r="H17" s="16">
        <f>0.13*((100/150)*C17)/100</f>
        <v>0.15600000000000003</v>
      </c>
      <c r="I17" s="16">
        <f>10*((100/150)*C17)/100</f>
        <v>12</v>
      </c>
      <c r="J17" s="16">
        <f>0.87*((100/150)*C17)/100</f>
        <v>1.044</v>
      </c>
      <c r="K17" s="16">
        <f>0.03*((100/150)*C17)/100</f>
        <v>3.5999999999999997E-2</v>
      </c>
      <c r="L17" s="16">
        <f>32.73*((100/150)*C17)/100</f>
        <v>39.275999999999996</v>
      </c>
      <c r="M17" s="16">
        <f>82.28*((100/150)*C17)/100</f>
        <v>98.736000000000004</v>
      </c>
      <c r="N17" s="16">
        <f>18.67*((100/150)*C17)/100</f>
        <v>22.404</v>
      </c>
      <c r="O17" s="17">
        <f>2.1*((100/150)*C17)/100</f>
        <v>2.52</v>
      </c>
    </row>
    <row r="18" spans="1:15" ht="28.8" x14ac:dyDescent="0.3">
      <c r="A18" s="47">
        <v>390</v>
      </c>
      <c r="B18" s="40" t="s">
        <v>103</v>
      </c>
      <c r="C18" s="13">
        <v>200</v>
      </c>
      <c r="D18" s="21">
        <f>0*((100/200)*C18)/100</f>
        <v>0</v>
      </c>
      <c r="E18" s="21">
        <f>0*((100/200)*C18)/100</f>
        <v>0</v>
      </c>
      <c r="F18" s="21">
        <f>10.03*((100/200)*C18)/100</f>
        <v>10.029999999999999</v>
      </c>
      <c r="G18" s="21">
        <f>38*((100/200)*C18)/100</f>
        <v>38</v>
      </c>
      <c r="H18" s="21">
        <f>0*((100/200)*C18)/100</f>
        <v>0</v>
      </c>
      <c r="I18" s="21">
        <f>0.1*((100/200)*C18)/100</f>
        <v>0.1</v>
      </c>
      <c r="J18" s="21">
        <f>0*((100/200)*C18)/100</f>
        <v>0</v>
      </c>
      <c r="K18" s="21">
        <f>0*((100/200)*C18)/100</f>
        <v>0</v>
      </c>
      <c r="L18" s="21">
        <f>5.25*((100/200)*C18)/100</f>
        <v>5.25</v>
      </c>
      <c r="M18" s="21">
        <f>8.24*((100/200)*C18)/100</f>
        <v>8.24</v>
      </c>
      <c r="N18" s="21">
        <f>4.4*((100/200)*C18)/100</f>
        <v>4.4000000000000004</v>
      </c>
      <c r="O18" s="22">
        <f>0.86*((100/200)*C18)/100</f>
        <v>0.86</v>
      </c>
    </row>
    <row r="19" spans="1:15" x14ac:dyDescent="0.3">
      <c r="A19" s="48"/>
      <c r="B19" s="39" t="s">
        <v>29</v>
      </c>
      <c r="C19" s="13">
        <v>40</v>
      </c>
      <c r="D19" s="21">
        <f>7.15*((100/50)*C19)/100</f>
        <v>5.72</v>
      </c>
      <c r="E19" s="21">
        <f>4.075*((100/50)*C19)/100</f>
        <v>3.26</v>
      </c>
      <c r="F19" s="21">
        <f>18.2*((100/50)*C19)/100</f>
        <v>14.56</v>
      </c>
      <c r="G19" s="21">
        <f>84.45*((100/50)*C19)/100</f>
        <v>67.56</v>
      </c>
      <c r="H19" s="21">
        <f>0.03*((100/50)*C19)/100</f>
        <v>2.4E-2</v>
      </c>
      <c r="I19" s="21">
        <f>3.56*((100/50)*C19)/100</f>
        <v>2.8480000000000003</v>
      </c>
      <c r="J19" s="21">
        <f>1.52*((100/50)*C19)/100</f>
        <v>1.216</v>
      </c>
      <c r="K19" s="21">
        <f>0*((100/50)*C19)/100</f>
        <v>0</v>
      </c>
      <c r="L19" s="21">
        <f>9.8*((100/50)*C19)/100</f>
        <v>7.84</v>
      </c>
      <c r="M19" s="21">
        <f>35.6*((100/50)*C19)/100</f>
        <v>28.48</v>
      </c>
      <c r="N19" s="21">
        <f>3.9*((100/50)*C19)/100</f>
        <v>3.12</v>
      </c>
      <c r="O19" s="22">
        <f>0.16*((100/50)*C19)/100</f>
        <v>0.128</v>
      </c>
    </row>
    <row r="20" spans="1:15" x14ac:dyDescent="0.3">
      <c r="A20" s="48"/>
      <c r="B20" s="40" t="s">
        <v>30</v>
      </c>
      <c r="C20" s="13">
        <v>50</v>
      </c>
      <c r="D20" s="21">
        <f>1.432*((100/40)*C20)/100</f>
        <v>1.79</v>
      </c>
      <c r="E20" s="21">
        <f>0.336*((100/40)*C20)/100</f>
        <v>0.42</v>
      </c>
      <c r="F20" s="21">
        <f>16.92*((100/40)*C20)/100</f>
        <v>21.15</v>
      </c>
      <c r="G20" s="21">
        <f>77.04*((100/40)*C20)/100</f>
        <v>96.3</v>
      </c>
      <c r="H20" s="21">
        <f>0.06*((100/40)*C20)/100</f>
        <v>7.4999999999999997E-2</v>
      </c>
      <c r="I20" s="36">
        <f>0*((100/40)*C20)/100</f>
        <v>0</v>
      </c>
      <c r="J20" s="21">
        <f>1.52*((100/40)*C20)/100</f>
        <v>1.9</v>
      </c>
      <c r="K20" s="36">
        <f>0*((100/40)*C20)/100</f>
        <v>0</v>
      </c>
      <c r="L20" s="21">
        <f>14.4*((100/40)*C20)/100</f>
        <v>18</v>
      </c>
      <c r="M20" s="21">
        <f>0.872*((100/40)*C20)/100</f>
        <v>1.0900000000000001</v>
      </c>
      <c r="N20" s="21">
        <f>8.92*((100/40)*C20)/100</f>
        <v>11.15</v>
      </c>
      <c r="O20" s="22">
        <f>0.36*((100/40)*C20)/100</f>
        <v>0.45</v>
      </c>
    </row>
    <row r="21" spans="1:15" ht="15" thickBot="1" x14ac:dyDescent="0.35">
      <c r="A21" s="49" t="s">
        <v>2</v>
      </c>
      <c r="B21" s="35"/>
      <c r="C21" s="7"/>
      <c r="D21" s="18">
        <f t="shared" ref="D21:O21" si="1">SUM(D14:D20)</f>
        <v>21.656666666666666</v>
      </c>
      <c r="E21" s="18">
        <f t="shared" si="1"/>
        <v>31.900666666666666</v>
      </c>
      <c r="F21" s="18">
        <f t="shared" si="1"/>
        <v>130.17066666666668</v>
      </c>
      <c r="G21" s="18">
        <f t="shared" si="1"/>
        <v>837.52666666666664</v>
      </c>
      <c r="H21" s="18">
        <f t="shared" si="1"/>
        <v>0.53666666666666674</v>
      </c>
      <c r="I21" s="18">
        <f t="shared" si="1"/>
        <v>39.189666666666668</v>
      </c>
      <c r="J21" s="18">
        <f t="shared" si="1"/>
        <v>6.8100000000000005</v>
      </c>
      <c r="K21" s="18">
        <f t="shared" si="1"/>
        <v>9.7666666666666666E-2</v>
      </c>
      <c r="L21" s="18">
        <f t="shared" si="1"/>
        <v>163.77683333333331</v>
      </c>
      <c r="M21" s="18">
        <f t="shared" si="1"/>
        <v>604.32100000000003</v>
      </c>
      <c r="N21" s="18">
        <f t="shared" si="1"/>
        <v>97.607333333333344</v>
      </c>
      <c r="O21" s="19">
        <f t="shared" si="1"/>
        <v>6.5946666666666669</v>
      </c>
    </row>
    <row r="23" spans="1:15" ht="15" thickBot="1" x14ac:dyDescent="0.35"/>
    <row r="24" spans="1:15" ht="15" thickBot="1" x14ac:dyDescent="0.35">
      <c r="A24" s="41" t="s">
        <v>80</v>
      </c>
      <c r="B24" s="42"/>
      <c r="C24" s="42"/>
      <c r="D24" s="43">
        <f t="shared" ref="D24:O24" si="2">D9+D21</f>
        <v>42.43333333333333</v>
      </c>
      <c r="E24" s="43">
        <f t="shared" si="2"/>
        <v>51.042333333333332</v>
      </c>
      <c r="F24" s="43">
        <f t="shared" si="2"/>
        <v>223.45066666666668</v>
      </c>
      <c r="G24" s="43">
        <f t="shared" si="2"/>
        <v>1414.6433333333334</v>
      </c>
      <c r="H24" s="43">
        <f t="shared" si="2"/>
        <v>0.83166666666666667</v>
      </c>
      <c r="I24" s="43">
        <f t="shared" si="2"/>
        <v>51.636333333333333</v>
      </c>
      <c r="J24" s="43">
        <f t="shared" si="2"/>
        <v>8.9033333333333342</v>
      </c>
      <c r="K24" s="43">
        <f t="shared" si="2"/>
        <v>0.32433333333333331</v>
      </c>
      <c r="L24" s="43">
        <f t="shared" si="2"/>
        <v>1103.4201666666665</v>
      </c>
      <c r="M24" s="43">
        <f t="shared" si="2"/>
        <v>1479.4926666666665</v>
      </c>
      <c r="N24" s="43">
        <f t="shared" si="2"/>
        <v>207.41233333333332</v>
      </c>
      <c r="O24" s="44">
        <f t="shared" si="2"/>
        <v>8.6538333333333348</v>
      </c>
    </row>
  </sheetData>
  <mergeCells count="9">
    <mergeCell ref="D12:F12"/>
    <mergeCell ref="H12:K12"/>
    <mergeCell ref="L12:O12"/>
    <mergeCell ref="A1:O1"/>
    <mergeCell ref="A2:O2"/>
    <mergeCell ref="D3:F3"/>
    <mergeCell ref="H3:K3"/>
    <mergeCell ref="L3:O3"/>
    <mergeCell ref="A11:O11"/>
  </mergeCells>
  <pageMargins left="0.51181102362204722" right="0.11811023622047245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10" workbookViewId="0">
      <selection activeCell="C27" sqref="C27"/>
    </sheetView>
  </sheetViews>
  <sheetFormatPr defaultRowHeight="14.4" x14ac:dyDescent="0.3"/>
  <cols>
    <col min="1" max="1" width="10.6640625" customWidth="1"/>
    <col min="2" max="2" width="20.88671875" bestFit="1" customWidth="1"/>
  </cols>
  <sheetData>
    <row r="1" spans="1:15" x14ac:dyDescent="0.3">
      <c r="A1" s="54" t="s">
        <v>109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" thickBot="1" x14ac:dyDescent="0.35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58.2" thickBot="1" x14ac:dyDescent="0.35">
      <c r="A3" s="10" t="s">
        <v>0</v>
      </c>
      <c r="B3" s="11" t="s">
        <v>3</v>
      </c>
      <c r="C3" s="12" t="s">
        <v>4</v>
      </c>
      <c r="D3" s="56" t="s">
        <v>5</v>
      </c>
      <c r="E3" s="56"/>
      <c r="F3" s="56"/>
      <c r="G3" s="12" t="s">
        <v>6</v>
      </c>
      <c r="H3" s="56" t="s">
        <v>7</v>
      </c>
      <c r="I3" s="56"/>
      <c r="J3" s="56"/>
      <c r="K3" s="56"/>
      <c r="L3" s="57" t="s">
        <v>8</v>
      </c>
      <c r="M3" s="56"/>
      <c r="N3" s="56"/>
      <c r="O3" s="58"/>
    </row>
    <row r="4" spans="1:15" x14ac:dyDescent="0.3">
      <c r="A4" s="4" t="s">
        <v>1</v>
      </c>
      <c r="B4" s="32"/>
      <c r="C4" s="33"/>
      <c r="D4" s="33" t="s">
        <v>9</v>
      </c>
      <c r="E4" s="33" t="s">
        <v>10</v>
      </c>
      <c r="F4" s="33" t="s">
        <v>11</v>
      </c>
      <c r="G4" s="33"/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1" t="s">
        <v>19</v>
      </c>
    </row>
    <row r="5" spans="1:15" ht="28.8" x14ac:dyDescent="0.3">
      <c r="A5" s="5">
        <v>321</v>
      </c>
      <c r="B5" s="38" t="s">
        <v>43</v>
      </c>
      <c r="C5" s="34">
        <v>200</v>
      </c>
      <c r="D5" s="16">
        <f>6.55*((100/150)*C5)/100</f>
        <v>8.7333333333333307</v>
      </c>
      <c r="E5" s="16">
        <f>10.46*((100/150)*C5)/100</f>
        <v>13.946666666666665</v>
      </c>
      <c r="F5" s="16">
        <f>28.97*((100/150)*C5)/100</f>
        <v>38.626666666666658</v>
      </c>
      <c r="G5" s="16">
        <f>213*((100/150)*C5)/100</f>
        <v>283.99999999999994</v>
      </c>
      <c r="H5" s="16">
        <f>0.23*((100/150)*C5)/100</f>
        <v>0.30666666666666664</v>
      </c>
      <c r="I5" s="16">
        <f>0.92*((100/150)*C5)/100</f>
        <v>1.2266666666666666</v>
      </c>
      <c r="J5" s="16">
        <f>0.05*((100/150)*C5)/100</f>
        <v>6.6666666666666666E-2</v>
      </c>
      <c r="K5" s="16">
        <f>0.05*((100/150)*C5)/100</f>
        <v>6.6666666666666666E-2</v>
      </c>
      <c r="L5" s="16">
        <f>105.93*((100/150)*C5)/100</f>
        <v>141.23999999999998</v>
      </c>
      <c r="M5" s="16">
        <f>170.84*((100/150)*C5)/100</f>
        <v>227.78666666666663</v>
      </c>
      <c r="N5" s="16">
        <f>21.57*((100/150)*C5)/100</f>
        <v>28.759999999999994</v>
      </c>
      <c r="O5" s="17">
        <f>1.25*((100/150)*C5)/100</f>
        <v>1.6666666666666663</v>
      </c>
    </row>
    <row r="6" spans="1:15" x14ac:dyDescent="0.3">
      <c r="A6" s="14">
        <v>422</v>
      </c>
      <c r="B6" s="40" t="s">
        <v>36</v>
      </c>
      <c r="C6" s="13">
        <v>200</v>
      </c>
      <c r="D6" s="21">
        <f>1.4*((100/200)*C6)/100</f>
        <v>1.4</v>
      </c>
      <c r="E6" s="21">
        <f>1.6*((100/200)*C6)/100</f>
        <v>1.6</v>
      </c>
      <c r="F6" s="21">
        <f>22.31*((100/200)*C6)/100</f>
        <v>22.31</v>
      </c>
      <c r="G6" s="21">
        <f>105*((100/200)*C6)/100</f>
        <v>105</v>
      </c>
      <c r="H6" s="21">
        <f>0.02*((100/200)*C6)/100</f>
        <v>0.02</v>
      </c>
      <c r="I6" s="21">
        <f>0.65*((100/200)*C6)/100</f>
        <v>0.65</v>
      </c>
      <c r="J6" s="21">
        <f>0.11*((100/200)*C6)/100</f>
        <v>0.11</v>
      </c>
      <c r="K6" s="21">
        <f>0.01*((100/200)*C6)/100</f>
        <v>0.01</v>
      </c>
      <c r="L6" s="21">
        <f>116.4*((100/200)*C6)/100</f>
        <v>116.4</v>
      </c>
      <c r="M6" s="21">
        <f>145*((100/200)*C6)/100</f>
        <v>145</v>
      </c>
      <c r="N6" s="21">
        <f>7*((100/200)*C6)/100</f>
        <v>7</v>
      </c>
      <c r="O6" s="22">
        <f>0.09*((100/200)*C6)/100</f>
        <v>0.09</v>
      </c>
    </row>
    <row r="7" spans="1:15" ht="43.2" x14ac:dyDescent="0.3">
      <c r="A7" s="5">
        <v>59</v>
      </c>
      <c r="B7" s="38" t="s">
        <v>44</v>
      </c>
      <c r="C7" s="34">
        <v>100</v>
      </c>
      <c r="D7" s="16">
        <f>0.44*((100/60)*C7)/100</f>
        <v>0.73333333333333339</v>
      </c>
      <c r="E7" s="16">
        <f>5.05*((100/60)*C7)/100</f>
        <v>8.4166666666666679</v>
      </c>
      <c r="F7" s="16">
        <f>1.043*((100/60)*C7)/100</f>
        <v>1.7383333333333335</v>
      </c>
      <c r="G7" s="16">
        <f>53*((100/60)*C7)/100</f>
        <v>88.333333333333343</v>
      </c>
      <c r="H7" s="16">
        <f>0.02*((100/60)*C7)/100</f>
        <v>3.333333333333334E-2</v>
      </c>
      <c r="I7" s="16">
        <f>6.5*((100/60)*C7)/100</f>
        <v>10.833333333333336</v>
      </c>
      <c r="J7" s="16">
        <f>0.41*((100/60)*C7)/100</f>
        <v>0.68333333333333346</v>
      </c>
      <c r="K7" s="16">
        <f>0.23*((100/60)*C7)/100</f>
        <v>0.38333333333333341</v>
      </c>
      <c r="L7" s="16">
        <f>11.5*((100/60)*C7)/100</f>
        <v>19.166666666666671</v>
      </c>
      <c r="M7" s="16">
        <f>27.54*((100/60)*C7)/100</f>
        <v>45.9</v>
      </c>
      <c r="N7" s="16">
        <f>9.5*((100/60)*C7)/100</f>
        <v>15.833333333333336</v>
      </c>
      <c r="O7" s="17">
        <f>0.57*((100/60)*C7)/100</f>
        <v>0.95</v>
      </c>
    </row>
    <row r="8" spans="1:15" x14ac:dyDescent="0.3">
      <c r="A8" s="5"/>
      <c r="B8" s="30" t="s">
        <v>29</v>
      </c>
      <c r="C8" s="23">
        <v>50</v>
      </c>
      <c r="D8" s="16">
        <f>5.72*((100/40)*C8)/100</f>
        <v>7.15</v>
      </c>
      <c r="E8" s="16">
        <f>3.26*((100/40)*C8)/100</f>
        <v>4.0750000000000002</v>
      </c>
      <c r="F8" s="16">
        <f>14.56*((100/40)*C8)/100</f>
        <v>18.2</v>
      </c>
      <c r="G8" s="16">
        <f>67.56*((100/40)*C8)/100</f>
        <v>84.45</v>
      </c>
      <c r="H8" s="16">
        <f>0.028*((100/40)*C8)/100</f>
        <v>3.5000000000000003E-2</v>
      </c>
      <c r="I8" s="16">
        <f>2.248*((100/40)*C8)/100</f>
        <v>2.81</v>
      </c>
      <c r="J8" s="16">
        <f>1.12*((100/40)*C8)/100</f>
        <v>1.4</v>
      </c>
      <c r="K8" s="16">
        <f>0*((100/40)*C8)/100</f>
        <v>0</v>
      </c>
      <c r="L8" s="16">
        <f>7.84*((100/40)*C8)/100</f>
        <v>9.8000000000000007</v>
      </c>
      <c r="M8" s="16">
        <f>7.676*((100/40)*C8)/100</f>
        <v>9.5950000000000006</v>
      </c>
      <c r="N8" s="16">
        <f>3.692*((100/40)*C8)/100</f>
        <v>4.6150000000000002</v>
      </c>
      <c r="O8" s="17">
        <f>0.81*((100/40)*C8)/100</f>
        <v>1.0125</v>
      </c>
    </row>
    <row r="9" spans="1:15" ht="15" thickBot="1" x14ac:dyDescent="0.35">
      <c r="A9" s="6" t="s">
        <v>2</v>
      </c>
      <c r="B9" s="35"/>
      <c r="C9" s="27"/>
      <c r="D9" s="18">
        <f t="shared" ref="D9:O9" si="0">SUM(D5:D8)</f>
        <v>18.016666666666666</v>
      </c>
      <c r="E9" s="18">
        <f t="shared" si="0"/>
        <v>28.03833333333333</v>
      </c>
      <c r="F9" s="18">
        <f t="shared" si="0"/>
        <v>80.874999999999986</v>
      </c>
      <c r="G9" s="18">
        <f t="shared" si="0"/>
        <v>561.7833333333333</v>
      </c>
      <c r="H9" s="18">
        <f t="shared" si="0"/>
        <v>0.39500000000000002</v>
      </c>
      <c r="I9" s="18">
        <f t="shared" si="0"/>
        <v>15.520000000000003</v>
      </c>
      <c r="J9" s="18">
        <f t="shared" si="0"/>
        <v>2.2599999999999998</v>
      </c>
      <c r="K9" s="18">
        <f t="shared" si="0"/>
        <v>0.46000000000000008</v>
      </c>
      <c r="L9" s="18">
        <f t="shared" si="0"/>
        <v>286.60666666666668</v>
      </c>
      <c r="M9" s="18">
        <f t="shared" si="0"/>
        <v>428.28166666666664</v>
      </c>
      <c r="N9" s="18">
        <f t="shared" si="0"/>
        <v>56.208333333333329</v>
      </c>
      <c r="O9" s="19">
        <f t="shared" si="0"/>
        <v>3.7191666666666663</v>
      </c>
    </row>
    <row r="11" spans="1:15" ht="15" thickBot="1" x14ac:dyDescent="0.35">
      <c r="A11" s="55" t="s">
        <v>23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57.6" customHeight="1" thickBot="1" x14ac:dyDescent="0.35">
      <c r="A12" s="10" t="s">
        <v>0</v>
      </c>
      <c r="B12" s="11" t="s">
        <v>3</v>
      </c>
      <c r="C12" s="12" t="s">
        <v>4</v>
      </c>
      <c r="D12" s="56" t="s">
        <v>5</v>
      </c>
      <c r="E12" s="56"/>
      <c r="F12" s="56"/>
      <c r="G12" s="12" t="s">
        <v>6</v>
      </c>
      <c r="H12" s="56" t="s">
        <v>7</v>
      </c>
      <c r="I12" s="56"/>
      <c r="J12" s="56"/>
      <c r="K12" s="56"/>
      <c r="L12" s="57" t="s">
        <v>8</v>
      </c>
      <c r="M12" s="56"/>
      <c r="N12" s="56"/>
      <c r="O12" s="58"/>
    </row>
    <row r="13" spans="1:15" x14ac:dyDescent="0.3">
      <c r="A13" s="4" t="s">
        <v>1</v>
      </c>
      <c r="B13" s="32"/>
      <c r="C13" s="33"/>
      <c r="D13" s="33" t="s">
        <v>9</v>
      </c>
      <c r="E13" s="33" t="s">
        <v>10</v>
      </c>
      <c r="F13" s="33" t="s">
        <v>11</v>
      </c>
      <c r="G13" s="33"/>
      <c r="H13" s="33" t="s">
        <v>12</v>
      </c>
      <c r="I13" s="33" t="s">
        <v>13</v>
      </c>
      <c r="J13" s="33" t="s">
        <v>14</v>
      </c>
      <c r="K13" s="33" t="s">
        <v>15</v>
      </c>
      <c r="L13" s="33" t="s">
        <v>16</v>
      </c>
      <c r="M13" s="33" t="s">
        <v>17</v>
      </c>
      <c r="N13" s="33" t="s">
        <v>18</v>
      </c>
      <c r="O13" s="31" t="s">
        <v>19</v>
      </c>
    </row>
    <row r="14" spans="1:15" x14ac:dyDescent="0.3">
      <c r="A14" s="5">
        <v>13</v>
      </c>
      <c r="B14" s="38" t="s">
        <v>104</v>
      </c>
      <c r="C14" s="23">
        <v>100</v>
      </c>
      <c r="D14" s="16">
        <f>0.48*((100/60)*C14)/100</f>
        <v>0.8</v>
      </c>
      <c r="E14" s="16">
        <f>0.06*((100/60)*C14)/100</f>
        <v>0.1</v>
      </c>
      <c r="F14" s="16">
        <f>0.96*((100/60)*C14)/100</f>
        <v>1.6</v>
      </c>
      <c r="G14" s="16">
        <f>8*((100/60)*C14)/100</f>
        <v>13.333333333333336</v>
      </c>
      <c r="H14" s="16">
        <f>0.02*((100/60)*C14)/100</f>
        <v>3.333333333333334E-2</v>
      </c>
      <c r="I14" s="16">
        <f>12*((100/60)*C14)/100</f>
        <v>20.000000000000004</v>
      </c>
      <c r="J14" s="16">
        <f>0.11*((100/60)*C14)/100</f>
        <v>0.18333333333333335</v>
      </c>
      <c r="K14" s="16">
        <f>0.03*((100/60)*C14)/100</f>
        <v>0.05</v>
      </c>
      <c r="L14" s="16">
        <f>31.5*((100/60)*C14)/100</f>
        <v>52.500000000000007</v>
      </c>
      <c r="M14" s="16">
        <f>27.54*((100/60)*C14)/100</f>
        <v>45.9</v>
      </c>
      <c r="N14" s="16">
        <f>10.5*((100/60)*C14)/100</f>
        <v>17.500000000000004</v>
      </c>
      <c r="O14" s="17">
        <f>0.77*((100/60)*C14)/100</f>
        <v>1.2833333333333334</v>
      </c>
    </row>
    <row r="15" spans="1:15" ht="28.8" x14ac:dyDescent="0.3">
      <c r="A15" s="8">
        <v>96</v>
      </c>
      <c r="B15" s="51" t="s">
        <v>45</v>
      </c>
      <c r="C15" s="9">
        <v>250</v>
      </c>
      <c r="D15" s="25">
        <f>2.06*((100/250)*C15)/100</f>
        <v>2.06</v>
      </c>
      <c r="E15" s="25">
        <f>5.27*((100/250)*C15)/100</f>
        <v>5.27</v>
      </c>
      <c r="F15" s="25">
        <f>13.07*((100/250)*C15)/100</f>
        <v>13.07</v>
      </c>
      <c r="G15" s="25">
        <f>108*((100/250)*C15)/100</f>
        <v>108</v>
      </c>
      <c r="H15" s="25">
        <f>0.05*((100/250)*C15)/100</f>
        <v>0.05</v>
      </c>
      <c r="I15" s="25">
        <f>14.46*((100/250)*C15)/100</f>
        <v>14.46</v>
      </c>
      <c r="J15" s="25">
        <f>1.82*((100/250)*C15)/100</f>
        <v>1.82</v>
      </c>
      <c r="K15" s="25">
        <f>0.03*((100/250)*C15)/100</f>
        <v>0.03</v>
      </c>
      <c r="L15" s="25">
        <f>42.86*((100/250)*C15)/100</f>
        <v>42.86</v>
      </c>
      <c r="M15" s="25">
        <f>75.5*((100/250)*C15)/100</f>
        <v>75.5</v>
      </c>
      <c r="N15" s="25">
        <f>22.23*((100/250)*C15)/100</f>
        <v>22.23</v>
      </c>
      <c r="O15" s="26">
        <f>1.2*((100/250)*C15)/100</f>
        <v>1.2</v>
      </c>
    </row>
    <row r="16" spans="1:15" x14ac:dyDescent="0.3">
      <c r="A16" s="5">
        <v>443</v>
      </c>
      <c r="B16" s="38" t="s">
        <v>46</v>
      </c>
      <c r="C16" s="34">
        <v>180</v>
      </c>
      <c r="D16" s="16">
        <f>3.24*((100/150)*C16)/100</f>
        <v>3.8879999999999999</v>
      </c>
      <c r="E16" s="16">
        <f>5.6*((100/150)*C16)/100</f>
        <v>6.72</v>
      </c>
      <c r="F16" s="16">
        <f>29.05*((100/150)*C16)/100</f>
        <v>34.86</v>
      </c>
      <c r="G16" s="16">
        <f>156*((100/150)*C16)/100</f>
        <v>187.2</v>
      </c>
      <c r="H16" s="16">
        <f>0.15*((100/150)*C16)/100</f>
        <v>0.18</v>
      </c>
      <c r="I16" s="16">
        <f>2.95*((100/150)*C16)/100</f>
        <v>3.54</v>
      </c>
      <c r="J16" s="16">
        <f>0.2*((100/150)*C16)/100</f>
        <v>0.24</v>
      </c>
      <c r="K16" s="16">
        <f>0.03*((100/150)*C16)/100</f>
        <v>3.5999999999999997E-2</v>
      </c>
      <c r="L16" s="16">
        <f>46*((100/150)*C16)/100</f>
        <v>55.2</v>
      </c>
      <c r="M16" s="16">
        <f>96.71*((100/150)*C16)/100</f>
        <v>116.05199999999999</v>
      </c>
      <c r="N16" s="16">
        <f>31.49*((100/150)*C16)/100</f>
        <v>37.787999999999997</v>
      </c>
      <c r="O16" s="17">
        <f>0.4*((100/150)*C16)/100</f>
        <v>0.48</v>
      </c>
    </row>
    <row r="17" spans="1:15" x14ac:dyDescent="0.3">
      <c r="A17" s="5">
        <v>162</v>
      </c>
      <c r="B17" s="38" t="s">
        <v>47</v>
      </c>
      <c r="C17" s="34">
        <v>100</v>
      </c>
      <c r="D17" s="16">
        <f>15.23*((100/80)*C17)/100</f>
        <v>19.037500000000001</v>
      </c>
      <c r="E17" s="16">
        <f>13.97*((100/80)*C17)/100</f>
        <v>17.462499999999999</v>
      </c>
      <c r="F17" s="16">
        <f>2.18*((100/80)*C17)/100</f>
        <v>2.7250000000000001</v>
      </c>
      <c r="G17" s="16">
        <f>187.2*((100/80)*C17)/100</f>
        <v>234</v>
      </c>
      <c r="H17" s="16">
        <f>0.08*((100/80)*C17)/100</f>
        <v>0.1</v>
      </c>
      <c r="I17" s="16">
        <f>2.98*((100/80)*C17)/100</f>
        <v>3.7250000000000001</v>
      </c>
      <c r="J17" s="16">
        <f>0*((100/80)*C17)/100</f>
        <v>0</v>
      </c>
      <c r="K17" s="16">
        <f>0*((100/80)*C17)/100</f>
        <v>0</v>
      </c>
      <c r="L17" s="16">
        <f>13.44*((100/80)*C17)/100</f>
        <v>16.8</v>
      </c>
      <c r="M17" s="16">
        <f>161.8*((100/80)*C17)/100</f>
        <v>202.25</v>
      </c>
      <c r="N17" s="16">
        <f>27.78*((100/80)*C17)/100</f>
        <v>34.725000000000001</v>
      </c>
      <c r="O17" s="17">
        <f>1.97*((100/80)*C17)/100</f>
        <v>2.4624999999999999</v>
      </c>
    </row>
    <row r="18" spans="1:15" x14ac:dyDescent="0.3">
      <c r="A18" s="5"/>
      <c r="B18" s="30" t="s">
        <v>81</v>
      </c>
      <c r="C18" s="34">
        <v>200</v>
      </c>
      <c r="D18" s="16">
        <f>13.3*((100/200)*C18)/100</f>
        <v>13.3</v>
      </c>
      <c r="E18" s="16">
        <f>3.6*((100/200)*C18)/100</f>
        <v>3.6</v>
      </c>
      <c r="F18" s="16">
        <f>3.9*((100/200)*C18)/100</f>
        <v>3.9</v>
      </c>
      <c r="G18" s="16">
        <f>167*((100/200)*C18)/100</f>
        <v>167</v>
      </c>
      <c r="H18" s="16">
        <f>0.06*((100/200)*C18)/100</f>
        <v>0.06</v>
      </c>
      <c r="I18" s="16">
        <f>1.2*((100/200)*C18)/100</f>
        <v>1.2</v>
      </c>
      <c r="J18" s="16">
        <f>0*((100/200)*C18)/100</f>
        <v>0</v>
      </c>
      <c r="K18" s="16">
        <f>0.04*((100/200)*C18)/100</f>
        <v>0.04</v>
      </c>
      <c r="L18" s="16">
        <f>204*((100/200)*C18)/100</f>
        <v>204</v>
      </c>
      <c r="M18" s="16">
        <f>1.62*((100/200)*C18)/100</f>
        <v>1.62</v>
      </c>
      <c r="N18" s="16">
        <f>218.1*((100/200)*C18)/100</f>
        <v>218.1</v>
      </c>
      <c r="O18" s="17">
        <f>0.08*((100/200)*C18)/100</f>
        <v>0.08</v>
      </c>
    </row>
    <row r="19" spans="1:15" x14ac:dyDescent="0.3">
      <c r="A19" s="15"/>
      <c r="B19" s="39" t="s">
        <v>29</v>
      </c>
      <c r="C19" s="13">
        <v>40</v>
      </c>
      <c r="D19" s="21">
        <f>7.15*((100/50)*C19)/100</f>
        <v>5.72</v>
      </c>
      <c r="E19" s="21">
        <f>4.075*((100/50)*C19)/100</f>
        <v>3.26</v>
      </c>
      <c r="F19" s="21">
        <f>18.2*((100/50)*C19)/100</f>
        <v>14.56</v>
      </c>
      <c r="G19" s="21">
        <f>84.45*((100/50)*C19)/100</f>
        <v>67.56</v>
      </c>
      <c r="H19" s="21">
        <f>0.03*((100/50)*C19)/100</f>
        <v>2.4E-2</v>
      </c>
      <c r="I19" s="21">
        <f>3.56*((100/50)*C19)/100</f>
        <v>2.8480000000000003</v>
      </c>
      <c r="J19" s="21">
        <f>1.52*((100/50)*C19)/100</f>
        <v>1.216</v>
      </c>
      <c r="K19" s="21">
        <f>0*((100/50)*C19)/100</f>
        <v>0</v>
      </c>
      <c r="L19" s="21">
        <f>9.8*((100/50)*C19)/100</f>
        <v>7.84</v>
      </c>
      <c r="M19" s="21">
        <f>35.6*((100/50)*C19)/100</f>
        <v>28.48</v>
      </c>
      <c r="N19" s="21">
        <f>3.9*((100/50)*C19)/100</f>
        <v>3.12</v>
      </c>
      <c r="O19" s="22">
        <f>0.16*((100/50)*C19)/100</f>
        <v>0.128</v>
      </c>
    </row>
    <row r="20" spans="1:15" x14ac:dyDescent="0.3">
      <c r="A20" s="15"/>
      <c r="B20" s="40" t="s">
        <v>30</v>
      </c>
      <c r="C20" s="13">
        <v>50</v>
      </c>
      <c r="D20" s="21">
        <f>1.432*((100/40)*C20)/100</f>
        <v>1.79</v>
      </c>
      <c r="E20" s="21">
        <f>0.336*((100/40)*C20)/100</f>
        <v>0.42</v>
      </c>
      <c r="F20" s="21">
        <f>16.92*((100/40)*C20)/100</f>
        <v>21.15</v>
      </c>
      <c r="G20" s="21">
        <f>77.04*((100/40)*C20)/100</f>
        <v>96.3</v>
      </c>
      <c r="H20" s="21">
        <f>0.06*((100/40)*C20)/100</f>
        <v>7.4999999999999997E-2</v>
      </c>
      <c r="I20" s="16">
        <f>0*((100/40)*C20)/100</f>
        <v>0</v>
      </c>
      <c r="J20" s="21">
        <f>1.52*((100/40)*C20)/100</f>
        <v>1.9</v>
      </c>
      <c r="K20" s="16">
        <f>0 *((100/40)*C20)/100</f>
        <v>0</v>
      </c>
      <c r="L20" s="21">
        <f>14.4*((100/40)*C20)/100</f>
        <v>18</v>
      </c>
      <c r="M20" s="21">
        <f>0.872*((100/40)*C20)/100</f>
        <v>1.0900000000000001</v>
      </c>
      <c r="N20" s="21">
        <f>8.92*((100/40)*C20)/100</f>
        <v>11.15</v>
      </c>
      <c r="O20" s="22">
        <f>0.36*((100/40)*C20)/100</f>
        <v>0.45</v>
      </c>
    </row>
    <row r="21" spans="1:15" ht="15" thickBot="1" x14ac:dyDescent="0.35">
      <c r="A21" s="6" t="s">
        <v>2</v>
      </c>
      <c r="B21" s="35"/>
      <c r="C21" s="7"/>
      <c r="D21" s="18">
        <f t="shared" ref="D21:O21" si="1">SUM(D14:D20)</f>
        <v>46.595500000000001</v>
      </c>
      <c r="E21" s="18">
        <f t="shared" si="1"/>
        <v>36.832499999999996</v>
      </c>
      <c r="F21" s="18">
        <f t="shared" si="1"/>
        <v>91.865000000000009</v>
      </c>
      <c r="G21" s="18">
        <f t="shared" si="1"/>
        <v>873.3933333333332</v>
      </c>
      <c r="H21" s="18">
        <f t="shared" si="1"/>
        <v>0.52233333333333332</v>
      </c>
      <c r="I21" s="18">
        <f t="shared" si="1"/>
        <v>45.77300000000001</v>
      </c>
      <c r="J21" s="18">
        <f t="shared" si="1"/>
        <v>5.3593333333333337</v>
      </c>
      <c r="K21" s="18">
        <f t="shared" si="1"/>
        <v>0.156</v>
      </c>
      <c r="L21" s="18">
        <f t="shared" si="1"/>
        <v>397.2</v>
      </c>
      <c r="M21" s="18">
        <f t="shared" si="1"/>
        <v>470.892</v>
      </c>
      <c r="N21" s="18">
        <f t="shared" si="1"/>
        <v>344.61299999999994</v>
      </c>
      <c r="O21" s="19">
        <f t="shared" si="1"/>
        <v>6.0838333333333336</v>
      </c>
    </row>
    <row r="23" spans="1:15" ht="15" thickBot="1" x14ac:dyDescent="0.35"/>
    <row r="24" spans="1:15" ht="15" thickBot="1" x14ac:dyDescent="0.35">
      <c r="A24" s="41" t="s">
        <v>80</v>
      </c>
      <c r="B24" s="42"/>
      <c r="C24" s="42"/>
      <c r="D24" s="43">
        <f t="shared" ref="D24:O24" si="2">D9+D21</f>
        <v>64.612166666666667</v>
      </c>
      <c r="E24" s="43">
        <f t="shared" si="2"/>
        <v>64.870833333333323</v>
      </c>
      <c r="F24" s="43">
        <f t="shared" si="2"/>
        <v>172.74</v>
      </c>
      <c r="G24" s="43">
        <f t="shared" si="2"/>
        <v>1435.1766666666665</v>
      </c>
      <c r="H24" s="43">
        <f t="shared" si="2"/>
        <v>0.91733333333333333</v>
      </c>
      <c r="I24" s="43">
        <f t="shared" si="2"/>
        <v>61.293000000000013</v>
      </c>
      <c r="J24" s="43">
        <f t="shared" si="2"/>
        <v>7.6193333333333335</v>
      </c>
      <c r="K24" s="43">
        <f t="shared" si="2"/>
        <v>0.6160000000000001</v>
      </c>
      <c r="L24" s="43">
        <f t="shared" si="2"/>
        <v>683.80666666666662</v>
      </c>
      <c r="M24" s="43">
        <f t="shared" si="2"/>
        <v>899.17366666666658</v>
      </c>
      <c r="N24" s="43">
        <f t="shared" si="2"/>
        <v>400.82133333333326</v>
      </c>
      <c r="O24" s="44">
        <f t="shared" si="2"/>
        <v>9.8030000000000008</v>
      </c>
    </row>
  </sheetData>
  <mergeCells count="9">
    <mergeCell ref="D12:F12"/>
    <mergeCell ref="H12:K12"/>
    <mergeCell ref="L12:O12"/>
    <mergeCell ref="A1:O1"/>
    <mergeCell ref="A2:O2"/>
    <mergeCell ref="D3:F3"/>
    <mergeCell ref="H3:K3"/>
    <mergeCell ref="L3:O3"/>
    <mergeCell ref="A11:O11"/>
  </mergeCells>
  <pageMargins left="0.51181102362204722" right="0.11811023622047245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C23" sqref="C23"/>
    </sheetView>
  </sheetViews>
  <sheetFormatPr defaultRowHeight="14.4" x14ac:dyDescent="0.3"/>
  <cols>
    <col min="1" max="1" width="11.44140625" customWidth="1"/>
    <col min="2" max="2" width="20.88671875" bestFit="1" customWidth="1"/>
  </cols>
  <sheetData>
    <row r="1" spans="1:15" x14ac:dyDescent="0.3">
      <c r="A1" s="54" t="s">
        <v>110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" thickBot="1" x14ac:dyDescent="0.35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58.2" thickBot="1" x14ac:dyDescent="0.35">
      <c r="A3" s="10" t="s">
        <v>0</v>
      </c>
      <c r="B3" s="11" t="s">
        <v>3</v>
      </c>
      <c r="C3" s="12" t="s">
        <v>4</v>
      </c>
      <c r="D3" s="56" t="s">
        <v>5</v>
      </c>
      <c r="E3" s="56"/>
      <c r="F3" s="56"/>
      <c r="G3" s="12" t="s">
        <v>6</v>
      </c>
      <c r="H3" s="56" t="s">
        <v>7</v>
      </c>
      <c r="I3" s="56"/>
      <c r="J3" s="56"/>
      <c r="K3" s="56"/>
      <c r="L3" s="57" t="s">
        <v>8</v>
      </c>
      <c r="M3" s="56"/>
      <c r="N3" s="56"/>
      <c r="O3" s="58"/>
    </row>
    <row r="4" spans="1:15" x14ac:dyDescent="0.3">
      <c r="A4" s="4" t="s">
        <v>1</v>
      </c>
      <c r="B4" s="32"/>
      <c r="C4" s="33"/>
      <c r="D4" s="33" t="s">
        <v>9</v>
      </c>
      <c r="E4" s="33" t="s">
        <v>10</v>
      </c>
      <c r="F4" s="33" t="s">
        <v>11</v>
      </c>
      <c r="G4" s="33"/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1" t="s">
        <v>19</v>
      </c>
    </row>
    <row r="5" spans="1:15" ht="28.8" x14ac:dyDescent="0.3">
      <c r="A5" s="5">
        <v>327</v>
      </c>
      <c r="B5" s="38" t="s">
        <v>31</v>
      </c>
      <c r="C5" s="34">
        <v>200</v>
      </c>
      <c r="D5" s="16">
        <f>5.4*((100/150)*C5)/100</f>
        <v>7.2</v>
      </c>
      <c r="E5" s="16">
        <f>7.03*((100/150)*C5)/100</f>
        <v>9.3733333333333331</v>
      </c>
      <c r="F5" s="16">
        <f>24.87*((100/150)*C5)/100</f>
        <v>33.159999999999997</v>
      </c>
      <c r="G5" s="16">
        <f>198*((100/150)*C5)/100</f>
        <v>263.99999999999994</v>
      </c>
      <c r="H5" s="16">
        <f>0.06*((100/150)*C5)/100</f>
        <v>7.9999999999999988E-2</v>
      </c>
      <c r="I5" s="16">
        <f>0.92*((100/150)*C5)/100</f>
        <v>1.2266666666666666</v>
      </c>
      <c r="J5" s="16">
        <f>0*((100/150)*C5)/100</f>
        <v>0</v>
      </c>
      <c r="K5" s="16">
        <f>0.05*((100/150)*C5)/100</f>
        <v>6.6666666666666666E-2</v>
      </c>
      <c r="L5" s="16">
        <f>173.93*((100/150)*C5)/100</f>
        <v>231.90666666666664</v>
      </c>
      <c r="M5" s="16">
        <f>194.5*((100/150)*C5)/100</f>
        <v>259.33333333333326</v>
      </c>
      <c r="N5" s="16">
        <f>27.24*((100/150)*C5)/100</f>
        <v>36.319999999999993</v>
      </c>
      <c r="O5" s="17">
        <f>0.59*((100/150)*C5)/100</f>
        <v>0.78666666666666663</v>
      </c>
    </row>
    <row r="6" spans="1:15" x14ac:dyDescent="0.3">
      <c r="A6" s="14">
        <v>22</v>
      </c>
      <c r="B6" s="40" t="s">
        <v>93</v>
      </c>
      <c r="C6" s="13">
        <v>100</v>
      </c>
      <c r="D6" s="21">
        <f>0.67*((100/60*C6)/100)</f>
        <v>1.1166666666666669</v>
      </c>
      <c r="E6" s="21">
        <f>0.1*((100/60*C6)/100)</f>
        <v>0.16666666666666671</v>
      </c>
      <c r="F6" s="21">
        <f>9.03*((100/60*C6)/100)</f>
        <v>15.050000000000002</v>
      </c>
      <c r="G6" s="21">
        <f>39*((100/60*C6)/100)</f>
        <v>65.000000000000014</v>
      </c>
      <c r="H6" s="21">
        <f>0.02*((100/60*C6)/100)</f>
        <v>3.333333333333334E-2</v>
      </c>
      <c r="I6" s="21">
        <f>6.03*((100/60*C6)/100)</f>
        <v>10.050000000000002</v>
      </c>
      <c r="J6" s="21">
        <f>0.27*((100/60*C6)/100)</f>
        <v>0.45000000000000012</v>
      </c>
      <c r="K6" s="21">
        <f>0.21*((100/60*C6)/100)</f>
        <v>0.35000000000000003</v>
      </c>
      <c r="L6" s="21">
        <f>18.87*((100/60*C6)/100)</f>
        <v>31.450000000000006</v>
      </c>
      <c r="M6" s="21">
        <f>25.95*((100/60*C6)/100)</f>
        <v>43.250000000000007</v>
      </c>
      <c r="N6" s="21">
        <f>14.28*((100/60*C6)/100)</f>
        <v>23.800000000000004</v>
      </c>
      <c r="O6" s="22">
        <f>0.51*((100/60*C6)/100)</f>
        <v>0.8500000000000002</v>
      </c>
    </row>
    <row r="7" spans="1:15" x14ac:dyDescent="0.3">
      <c r="A7" s="5">
        <v>434</v>
      </c>
      <c r="B7" s="30" t="s">
        <v>42</v>
      </c>
      <c r="C7" s="34">
        <v>200</v>
      </c>
      <c r="D7" s="16">
        <f>0.26*((100/200)*C7)/100</f>
        <v>0.26</v>
      </c>
      <c r="E7" s="16">
        <f>0.05*((100/200)*C7)/100</f>
        <v>0.05</v>
      </c>
      <c r="F7" s="16">
        <f>15.22*((100/200)*C7)/100</f>
        <v>15.22</v>
      </c>
      <c r="G7" s="16">
        <f>59*((100/200)*C7)/100</f>
        <v>59</v>
      </c>
      <c r="H7" s="16">
        <f>0*((100/200)*C7)/100</f>
        <v>0</v>
      </c>
      <c r="I7" s="16">
        <f>2.9*((100/200)*C7)/100</f>
        <v>2.9</v>
      </c>
      <c r="J7" s="16">
        <f>0*((100/200)*C7)/100</f>
        <v>0</v>
      </c>
      <c r="K7" s="16">
        <f>0*((100/200)*C7)/100</f>
        <v>0</v>
      </c>
      <c r="L7" s="16">
        <f>8.05*((100/200)*C7)/100</f>
        <v>8.0500000000000007</v>
      </c>
      <c r="M7" s="16">
        <f>9.78*((100/200)*C7)/100</f>
        <v>9.7799999999999994</v>
      </c>
      <c r="N7" s="16">
        <f>5.24*((100/200)*C7)/100</f>
        <v>5.24</v>
      </c>
      <c r="O7" s="17">
        <f>0.1*((100/200)*C7)/100</f>
        <v>0.1</v>
      </c>
    </row>
    <row r="8" spans="1:15" x14ac:dyDescent="0.3">
      <c r="A8" s="5"/>
      <c r="B8" s="39" t="s">
        <v>82</v>
      </c>
      <c r="C8" s="13">
        <v>30</v>
      </c>
      <c r="D8" s="34">
        <f>6.9*((100/30)*C8)/100</f>
        <v>6.9</v>
      </c>
      <c r="E8" s="34">
        <f>8.7*((100/30)*C8)/100</f>
        <v>8.6999999999999993</v>
      </c>
      <c r="F8" s="34">
        <f>0*((100/30)*C8)/100</f>
        <v>0</v>
      </c>
      <c r="G8" s="34">
        <f>108*((100/30)*C8)/100</f>
        <v>108</v>
      </c>
      <c r="H8" s="34">
        <f>0.01*((100/30)*C8)/100</f>
        <v>0.01</v>
      </c>
      <c r="I8" s="34">
        <f>0.48*((100/30)*C8)/100</f>
        <v>0.48</v>
      </c>
      <c r="J8" s="34">
        <f>0.09*((100/30)*C8)/100</f>
        <v>0.09</v>
      </c>
      <c r="K8" s="34">
        <f>0.07*((100/30)*C8)/100</f>
        <v>7.0000000000000007E-2</v>
      </c>
      <c r="L8" s="34">
        <f>300*((100/30)*C8)/100</f>
        <v>300</v>
      </c>
      <c r="M8" s="34">
        <f>162*((100/30)*C8)/100</f>
        <v>162</v>
      </c>
      <c r="N8" s="34">
        <f>15*((100/30)*C8)/100</f>
        <v>15</v>
      </c>
      <c r="O8" s="52">
        <f>0.33*((100/30)*C8)/100</f>
        <v>0.33</v>
      </c>
    </row>
    <row r="9" spans="1:15" x14ac:dyDescent="0.3">
      <c r="A9" s="5"/>
      <c r="B9" s="30" t="s">
        <v>29</v>
      </c>
      <c r="C9" s="23">
        <v>50</v>
      </c>
      <c r="D9" s="16">
        <f>5.72*((100/40)*C9)/100</f>
        <v>7.15</v>
      </c>
      <c r="E9" s="16">
        <f>3.26*((100/40)*C9)/100</f>
        <v>4.0750000000000002</v>
      </c>
      <c r="F9" s="16">
        <f>14.56*((100/40)*C9)/100</f>
        <v>18.2</v>
      </c>
      <c r="G9" s="16">
        <f>67.56*((100/40)*C9)/100</f>
        <v>84.45</v>
      </c>
      <c r="H9" s="16">
        <f>0.028*((100/40)*C9)/100</f>
        <v>3.5000000000000003E-2</v>
      </c>
      <c r="I9" s="16">
        <f>2.248*((100/40)*C9)/100</f>
        <v>2.81</v>
      </c>
      <c r="J9" s="16">
        <f>1.12*((100/40)*C9)/100</f>
        <v>1.4</v>
      </c>
      <c r="K9" s="16">
        <f>0*((100/40)*C9)/100</f>
        <v>0</v>
      </c>
      <c r="L9" s="16">
        <f>7.84*((100/40)*C9)/100</f>
        <v>9.8000000000000007</v>
      </c>
      <c r="M9" s="16">
        <f>7.676*((100/40)*C9)/100</f>
        <v>9.5950000000000006</v>
      </c>
      <c r="N9" s="16">
        <f>3.692*((100/40)*C9)/100</f>
        <v>4.6150000000000002</v>
      </c>
      <c r="O9" s="17">
        <f>0.81*((100/40)*C9)/100</f>
        <v>1.0125</v>
      </c>
    </row>
    <row r="10" spans="1:15" ht="15" thickBot="1" x14ac:dyDescent="0.35">
      <c r="A10" s="6" t="s">
        <v>2</v>
      </c>
      <c r="B10" s="35"/>
      <c r="C10" s="7"/>
      <c r="D10" s="18">
        <f t="shared" ref="D10:O10" si="0">SUM(D5:D9)</f>
        <v>22.626666666666665</v>
      </c>
      <c r="E10" s="18">
        <f t="shared" si="0"/>
        <v>22.364999999999998</v>
      </c>
      <c r="F10" s="18">
        <f t="shared" si="0"/>
        <v>81.63</v>
      </c>
      <c r="G10" s="18">
        <f t="shared" si="0"/>
        <v>580.44999999999993</v>
      </c>
      <c r="H10" s="18">
        <f t="shared" si="0"/>
        <v>0.15833333333333333</v>
      </c>
      <c r="I10" s="18">
        <f t="shared" si="0"/>
        <v>17.466666666666669</v>
      </c>
      <c r="J10" s="18">
        <f t="shared" si="0"/>
        <v>1.94</v>
      </c>
      <c r="K10" s="18">
        <f t="shared" si="0"/>
        <v>0.48666666666666669</v>
      </c>
      <c r="L10" s="18">
        <f t="shared" si="0"/>
        <v>581.20666666666659</v>
      </c>
      <c r="M10" s="18">
        <f t="shared" si="0"/>
        <v>483.95833333333326</v>
      </c>
      <c r="N10" s="18">
        <f t="shared" si="0"/>
        <v>84.974999999999994</v>
      </c>
      <c r="O10" s="19">
        <f t="shared" si="0"/>
        <v>3.0791666666666666</v>
      </c>
    </row>
    <row r="12" spans="1:15" ht="15" thickBot="1" x14ac:dyDescent="0.35">
      <c r="A12" s="55" t="s">
        <v>23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15" ht="58.2" thickBot="1" x14ac:dyDescent="0.35">
      <c r="A13" s="10" t="s">
        <v>0</v>
      </c>
      <c r="B13" s="11" t="s">
        <v>3</v>
      </c>
      <c r="C13" s="12" t="s">
        <v>4</v>
      </c>
      <c r="D13" s="56" t="s">
        <v>5</v>
      </c>
      <c r="E13" s="56"/>
      <c r="F13" s="56"/>
      <c r="G13" s="12" t="s">
        <v>6</v>
      </c>
      <c r="H13" s="56" t="s">
        <v>7</v>
      </c>
      <c r="I13" s="56"/>
      <c r="J13" s="56"/>
      <c r="K13" s="56"/>
      <c r="L13" s="57" t="s">
        <v>8</v>
      </c>
      <c r="M13" s="56"/>
      <c r="N13" s="56"/>
      <c r="O13" s="58"/>
    </row>
    <row r="14" spans="1:15" x14ac:dyDescent="0.3">
      <c r="A14" s="4" t="s">
        <v>1</v>
      </c>
      <c r="B14" s="32"/>
      <c r="C14" s="33"/>
      <c r="D14" s="33" t="s">
        <v>9</v>
      </c>
      <c r="E14" s="33" t="s">
        <v>10</v>
      </c>
      <c r="F14" s="33" t="s">
        <v>11</v>
      </c>
      <c r="G14" s="33"/>
      <c r="H14" s="33" t="s">
        <v>12</v>
      </c>
      <c r="I14" s="33" t="s">
        <v>13</v>
      </c>
      <c r="J14" s="33" t="s">
        <v>14</v>
      </c>
      <c r="K14" s="33" t="s">
        <v>15</v>
      </c>
      <c r="L14" s="33" t="s">
        <v>16</v>
      </c>
      <c r="M14" s="33" t="s">
        <v>17</v>
      </c>
      <c r="N14" s="33" t="s">
        <v>18</v>
      </c>
      <c r="O14" s="31" t="s">
        <v>19</v>
      </c>
    </row>
    <row r="15" spans="1:15" x14ac:dyDescent="0.3">
      <c r="A15" s="5">
        <v>2</v>
      </c>
      <c r="B15" s="30" t="s">
        <v>32</v>
      </c>
      <c r="C15" s="23">
        <v>100</v>
      </c>
      <c r="D15" s="16">
        <f>0.74*((100/60)*C15)/100</f>
        <v>1.2333333333333334</v>
      </c>
      <c r="E15" s="16">
        <f>6.07*((100/60)*C15)/100</f>
        <v>10.116666666666669</v>
      </c>
      <c r="F15" s="16">
        <f>4.48*((100/60)*C15)/100</f>
        <v>7.4666666666666686</v>
      </c>
      <c r="G15" s="16">
        <f>76*((100/60)*C15)/100</f>
        <v>126.66666666666669</v>
      </c>
      <c r="H15" s="16">
        <f>0.02*((100/60)*C15)/100</f>
        <v>3.333333333333334E-2</v>
      </c>
      <c r="I15" s="16">
        <f>4.41*((100/60)*C15)/100</f>
        <v>7.3500000000000014</v>
      </c>
      <c r="J15" s="16">
        <f>0*((100/60)*C15)/100</f>
        <v>0</v>
      </c>
      <c r="K15" s="16">
        <f>0*((100/60)*C15)/100</f>
        <v>0</v>
      </c>
      <c r="L15" s="16">
        <f>18.97*((100/60)*C15)/100</f>
        <v>31.616666666666671</v>
      </c>
      <c r="M15" s="16">
        <f>19.19*((100/60)*C15)/100</f>
        <v>31.983333333333338</v>
      </c>
      <c r="N15" s="16">
        <f>9.23*((100/60)*C15)/100</f>
        <v>15.383333333333335</v>
      </c>
      <c r="O15" s="17">
        <f>0.46*((100/60)*C15)/100</f>
        <v>0.76666666666666683</v>
      </c>
    </row>
    <row r="16" spans="1:15" x14ac:dyDescent="0.3">
      <c r="A16" s="8">
        <v>105</v>
      </c>
      <c r="B16" s="51" t="s">
        <v>48</v>
      </c>
      <c r="C16" s="9">
        <v>250</v>
      </c>
      <c r="D16" s="25">
        <f>6.71*((100/250)*C16)/100</f>
        <v>6.71</v>
      </c>
      <c r="E16" s="25">
        <f>6.31*((100/250)*C16)/100</f>
        <v>6.31</v>
      </c>
      <c r="F16" s="25">
        <f>14.29*((100/250)*C16)/100</f>
        <v>14.29</v>
      </c>
      <c r="G16" s="25">
        <f>144*((100/250)*C16)/100</f>
        <v>144</v>
      </c>
      <c r="H16" s="25">
        <f>0.13*((100/250)*C16)/100</f>
        <v>0.13</v>
      </c>
      <c r="I16" s="25">
        <f>17.26*((100/250)*C16)/100</f>
        <v>17.260000000000002</v>
      </c>
      <c r="J16" s="25">
        <f>0.12*((100/250)*C16)/100</f>
        <v>0.12</v>
      </c>
      <c r="K16" s="25">
        <f>0.03*((100/250)*C16)/100</f>
        <v>0.03</v>
      </c>
      <c r="L16" s="25">
        <f>25.97*((100/250)*C16)/100</f>
        <v>25.97</v>
      </c>
      <c r="M16" s="25">
        <f>111.55*((100/250)*C16)/100</f>
        <v>111.55</v>
      </c>
      <c r="N16" s="25">
        <f>30.97*((100/250)*C16)/100</f>
        <v>30.97</v>
      </c>
      <c r="O16" s="26">
        <f>3.52*((100/250)*C16)/100</f>
        <v>3.52</v>
      </c>
    </row>
    <row r="17" spans="1:15" x14ac:dyDescent="0.3">
      <c r="A17" s="5">
        <v>447</v>
      </c>
      <c r="B17" s="30" t="s">
        <v>27</v>
      </c>
      <c r="C17" s="34">
        <v>180</v>
      </c>
      <c r="D17" s="16">
        <f>5.48*((100/150)*C17)/100</f>
        <v>6.5760000000000005</v>
      </c>
      <c r="E17" s="16">
        <f>4.98*((100/150)*C17)/100</f>
        <v>5.976</v>
      </c>
      <c r="F17" s="16">
        <f>44.88*((100/150)*C17)/100</f>
        <v>53.856000000000002</v>
      </c>
      <c r="G17" s="16">
        <f>211.5*((100/150)*C17)/100</f>
        <v>253.8</v>
      </c>
      <c r="H17" s="16">
        <f>0.11*((100/150)*C17)/100</f>
        <v>0.13200000000000001</v>
      </c>
      <c r="I17" s="16">
        <f>0*((100/150)*C17)/100</f>
        <v>0</v>
      </c>
      <c r="J17" s="16">
        <f>1.2*((100/150)*C17)/100</f>
        <v>1.44</v>
      </c>
      <c r="K17" s="16">
        <f>0.03*((100/150)*C17)/100</f>
        <v>3.5999999999999997E-2</v>
      </c>
      <c r="L17" s="16">
        <f>54.95*((100/150)*C17)/100</f>
        <v>65.94</v>
      </c>
      <c r="M17" s="16">
        <f>90.06*((100/150)*C17)/100</f>
        <v>108.072</v>
      </c>
      <c r="N17" s="16">
        <f>24.59*((100/150)*C17)/100</f>
        <v>29.508000000000003</v>
      </c>
      <c r="O17" s="17">
        <f>0.99*((100/150)*C17)/100</f>
        <v>1.1879999999999999</v>
      </c>
    </row>
    <row r="18" spans="1:15" x14ac:dyDescent="0.3">
      <c r="A18" s="5">
        <v>157</v>
      </c>
      <c r="B18" s="38" t="s">
        <v>49</v>
      </c>
      <c r="C18" s="34">
        <v>100</v>
      </c>
      <c r="D18" s="16">
        <f>3.41*((100/80)*C18)/100</f>
        <v>4.2625000000000002</v>
      </c>
      <c r="E18" s="16">
        <f>13.99*((100/80)*C18)/100</f>
        <v>17.487500000000001</v>
      </c>
      <c r="F18" s="16">
        <f>10.69*((100/80)*C18)/100</f>
        <v>13.362500000000001</v>
      </c>
      <c r="G18" s="16">
        <f>192*((100/80)*C18)/100</f>
        <v>240</v>
      </c>
      <c r="H18" s="16">
        <f>0.05*((100/80)*C18)/100</f>
        <v>6.25E-2</v>
      </c>
      <c r="I18" s="16">
        <f>2.4*((100/80)*C18)/100</f>
        <v>3</v>
      </c>
      <c r="J18" s="16">
        <f>0.18*((100/80)*C18)/100</f>
        <v>0.22500000000000001</v>
      </c>
      <c r="K18" s="16">
        <f>0.02*((100/80)*C18)/100</f>
        <v>2.5000000000000001E-2</v>
      </c>
      <c r="L18" s="16">
        <f>17.71*((100/80)*C18)/100</f>
        <v>22.137499999999999</v>
      </c>
      <c r="M18" s="16">
        <f>163.12*((100/80)*C18)/100</f>
        <v>203.9</v>
      </c>
      <c r="N18" s="16">
        <f>25.93*((100/80)*C18)/100</f>
        <v>32.412500000000001</v>
      </c>
      <c r="O18" s="17">
        <f>0.92*((100/80)*C18)/100</f>
        <v>1.1499999999999999</v>
      </c>
    </row>
    <row r="19" spans="1:15" x14ac:dyDescent="0.3">
      <c r="A19" s="5">
        <v>394</v>
      </c>
      <c r="B19" s="40" t="s">
        <v>50</v>
      </c>
      <c r="C19" s="13">
        <v>200</v>
      </c>
      <c r="D19" s="21">
        <f>0.21*((100/200)*C19)/100</f>
        <v>0.21</v>
      </c>
      <c r="E19" s="21">
        <f>0.21*((100/200)*C19)/100</f>
        <v>0.21</v>
      </c>
      <c r="F19" s="21">
        <f>15.27*((100/200)*C19)/100</f>
        <v>15.27</v>
      </c>
      <c r="G19" s="21">
        <f>62*((100/200)*C19)/100</f>
        <v>62</v>
      </c>
      <c r="H19" s="21">
        <f>0.01*((100/200)*C19)/100</f>
        <v>0.01</v>
      </c>
      <c r="I19" s="21">
        <f>8.91*((100/200)*C19)/100</f>
        <v>8.91</v>
      </c>
      <c r="J19" s="21">
        <f>0.18*((100/200)*C19)/100</f>
        <v>0.18</v>
      </c>
      <c r="K19" s="21">
        <f>0*((100/200)*C19)/100</f>
        <v>0</v>
      </c>
      <c r="L19" s="21">
        <f>8.84*((100/200)*C19)/100</f>
        <v>8.84</v>
      </c>
      <c r="M19" s="21">
        <f>5.94*((100/200)*C19)/100</f>
        <v>5.94</v>
      </c>
      <c r="N19" s="21">
        <f>6.89*((100/200)*C19)/100</f>
        <v>6.89</v>
      </c>
      <c r="O19" s="22">
        <f>1.21*((100/200)*C19)/100</f>
        <v>1.21</v>
      </c>
    </row>
    <row r="20" spans="1:15" x14ac:dyDescent="0.3">
      <c r="A20" s="15"/>
      <c r="B20" s="39" t="s">
        <v>29</v>
      </c>
      <c r="C20" s="13">
        <v>40</v>
      </c>
      <c r="D20" s="21">
        <f>7.15*((100/50)*C20)/100</f>
        <v>5.72</v>
      </c>
      <c r="E20" s="21">
        <f>4.075*((100/50)*C20)/100</f>
        <v>3.26</v>
      </c>
      <c r="F20" s="21">
        <f>18.2*((100/50)*C20)/100</f>
        <v>14.56</v>
      </c>
      <c r="G20" s="21">
        <f>84.45*((100/50)*C20)/100</f>
        <v>67.56</v>
      </c>
      <c r="H20" s="37">
        <f>0.03*((100/50)*C20)/100</f>
        <v>2.4E-2</v>
      </c>
      <c r="I20" s="37">
        <f>3.56*((100/50)*C20)/100</f>
        <v>2.8480000000000003</v>
      </c>
      <c r="J20" s="37">
        <f>1.52*((100/50)*C20)/100</f>
        <v>1.216</v>
      </c>
      <c r="K20" s="37">
        <f>0*((100/50)*C20)/100</f>
        <v>0</v>
      </c>
      <c r="L20" s="21">
        <f>9.8*((100/50)*C20)/100</f>
        <v>7.84</v>
      </c>
      <c r="M20" s="21">
        <f>35.6*((100/50)*C20)/100</f>
        <v>28.48</v>
      </c>
      <c r="N20" s="21">
        <f>3.9*((100/50)*C20)/100</f>
        <v>3.12</v>
      </c>
      <c r="O20" s="22">
        <f>0.16*((100/50)*C20)/100</f>
        <v>0.128</v>
      </c>
    </row>
    <row r="21" spans="1:15" x14ac:dyDescent="0.3">
      <c r="A21" s="15"/>
      <c r="B21" s="40" t="s">
        <v>30</v>
      </c>
      <c r="C21" s="13">
        <v>50</v>
      </c>
      <c r="D21" s="21">
        <f>1.432*((100/40)*C21)/100</f>
        <v>1.79</v>
      </c>
      <c r="E21" s="21">
        <f>0.336*((100/40)*C21)/100</f>
        <v>0.42</v>
      </c>
      <c r="F21" s="21">
        <f>16.92*((100/40)*C21)/100</f>
        <v>21.15</v>
      </c>
      <c r="G21" s="21">
        <f>77.04*((100/40)*C21)/100</f>
        <v>96.3</v>
      </c>
      <c r="H21" s="37">
        <f>0.06*((100/40)*C21)/100</f>
        <v>7.4999999999999997E-2</v>
      </c>
      <c r="I21" s="37">
        <f>0*((100/40)*C21)/100</f>
        <v>0</v>
      </c>
      <c r="J21" s="37">
        <f>1.52*((100/40)*C21)/100</f>
        <v>1.9</v>
      </c>
      <c r="K21" s="36">
        <f>0*((100/40)*C21)/100</f>
        <v>0</v>
      </c>
      <c r="L21" s="21">
        <f>14.4*((100/40)*C21)/100</f>
        <v>18</v>
      </c>
      <c r="M21" s="21">
        <f>0.872*((100/40)*C21)/100</f>
        <v>1.0900000000000001</v>
      </c>
      <c r="N21" s="21">
        <f>8.92*((100/40)*C21)/100</f>
        <v>11.15</v>
      </c>
      <c r="O21" s="22">
        <f>0.36*((100/40)*C21)/100</f>
        <v>0.45</v>
      </c>
    </row>
    <row r="22" spans="1:15" ht="15" thickBot="1" x14ac:dyDescent="0.35">
      <c r="A22" s="6" t="s">
        <v>2</v>
      </c>
      <c r="B22" s="35"/>
      <c r="C22" s="7"/>
      <c r="D22" s="18">
        <f t="shared" ref="D22:O22" si="1">SUM(D15:D21)</f>
        <v>26.501833333333334</v>
      </c>
      <c r="E22" s="18">
        <f t="shared" si="1"/>
        <v>43.780166666666673</v>
      </c>
      <c r="F22" s="18">
        <f t="shared" si="1"/>
        <v>139.95516666666666</v>
      </c>
      <c r="G22" s="18">
        <f t="shared" si="1"/>
        <v>990.3266666666666</v>
      </c>
      <c r="H22" s="18">
        <f t="shared" si="1"/>
        <v>0.46683333333333338</v>
      </c>
      <c r="I22" s="18">
        <f t="shared" si="1"/>
        <v>39.368000000000002</v>
      </c>
      <c r="J22" s="18">
        <f t="shared" si="1"/>
        <v>5.0809999999999995</v>
      </c>
      <c r="K22" s="18">
        <f t="shared" si="1"/>
        <v>9.0999999999999998E-2</v>
      </c>
      <c r="L22" s="18">
        <f t="shared" si="1"/>
        <v>180.34416666666667</v>
      </c>
      <c r="M22" s="18">
        <f t="shared" si="1"/>
        <v>491.01533333333333</v>
      </c>
      <c r="N22" s="18">
        <f t="shared" si="1"/>
        <v>129.43383333333333</v>
      </c>
      <c r="O22" s="19">
        <f t="shared" si="1"/>
        <v>8.4126666666666665</v>
      </c>
    </row>
    <row r="24" spans="1:15" ht="15" thickBot="1" x14ac:dyDescent="0.35"/>
    <row r="25" spans="1:15" ht="15" thickBot="1" x14ac:dyDescent="0.35">
      <c r="A25" s="41" t="s">
        <v>80</v>
      </c>
      <c r="B25" s="42"/>
      <c r="C25" s="42"/>
      <c r="D25" s="43">
        <f t="shared" ref="D25:O25" si="2">D10+D22</f>
        <v>49.128500000000003</v>
      </c>
      <c r="E25" s="43">
        <f t="shared" si="2"/>
        <v>66.145166666666668</v>
      </c>
      <c r="F25" s="43">
        <f t="shared" si="2"/>
        <v>221.58516666666665</v>
      </c>
      <c r="G25" s="43">
        <f t="shared" si="2"/>
        <v>1570.7766666666666</v>
      </c>
      <c r="H25" s="43">
        <f t="shared" si="2"/>
        <v>0.62516666666666665</v>
      </c>
      <c r="I25" s="43">
        <f t="shared" si="2"/>
        <v>56.834666666666671</v>
      </c>
      <c r="J25" s="43">
        <f t="shared" si="2"/>
        <v>7.020999999999999</v>
      </c>
      <c r="K25" s="43">
        <f t="shared" si="2"/>
        <v>0.57766666666666666</v>
      </c>
      <c r="L25" s="43">
        <f t="shared" si="2"/>
        <v>761.55083333333323</v>
      </c>
      <c r="M25" s="43">
        <f t="shared" si="2"/>
        <v>974.97366666666653</v>
      </c>
      <c r="N25" s="43">
        <f t="shared" si="2"/>
        <v>214.40883333333332</v>
      </c>
      <c r="O25" s="44">
        <f t="shared" si="2"/>
        <v>11.491833333333332</v>
      </c>
    </row>
  </sheetData>
  <mergeCells count="9">
    <mergeCell ref="D13:F13"/>
    <mergeCell ref="H13:K13"/>
    <mergeCell ref="L13:O13"/>
    <mergeCell ref="A1:O1"/>
    <mergeCell ref="A2:O2"/>
    <mergeCell ref="D3:F3"/>
    <mergeCell ref="H3:K3"/>
    <mergeCell ref="L3:O3"/>
    <mergeCell ref="A12:O12"/>
  </mergeCells>
  <pageMargins left="0.51181102362204722" right="0.11811023622047245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S15" sqref="S15"/>
    </sheetView>
  </sheetViews>
  <sheetFormatPr defaultRowHeight="14.4" x14ac:dyDescent="0.3"/>
  <cols>
    <col min="1" max="1" width="10.5546875" customWidth="1"/>
    <col min="2" max="2" width="20.88671875" bestFit="1" customWidth="1"/>
  </cols>
  <sheetData>
    <row r="1" spans="1:15" x14ac:dyDescent="0.3">
      <c r="A1" s="54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" thickBot="1" x14ac:dyDescent="0.35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58.2" thickBot="1" x14ac:dyDescent="0.35">
      <c r="A3" s="10" t="s">
        <v>0</v>
      </c>
      <c r="B3" s="11" t="s">
        <v>3</v>
      </c>
      <c r="C3" s="12" t="s">
        <v>4</v>
      </c>
      <c r="D3" s="62" t="s">
        <v>5</v>
      </c>
      <c r="E3" s="63"/>
      <c r="F3" s="64"/>
      <c r="G3" s="12" t="s">
        <v>6</v>
      </c>
      <c r="H3" s="62" t="s">
        <v>7</v>
      </c>
      <c r="I3" s="63"/>
      <c r="J3" s="63"/>
      <c r="K3" s="64"/>
      <c r="L3" s="65" t="s">
        <v>8</v>
      </c>
      <c r="M3" s="66"/>
      <c r="N3" s="66"/>
      <c r="O3" s="67"/>
    </row>
    <row r="4" spans="1:15" x14ac:dyDescent="0.3">
      <c r="A4" s="4" t="s">
        <v>1</v>
      </c>
      <c r="B4" s="32"/>
      <c r="C4" s="33"/>
      <c r="D4" s="33" t="s">
        <v>9</v>
      </c>
      <c r="E4" s="33" t="s">
        <v>10</v>
      </c>
      <c r="F4" s="33" t="s">
        <v>11</v>
      </c>
      <c r="G4" s="33"/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1" t="s">
        <v>19</v>
      </c>
    </row>
    <row r="5" spans="1:15" x14ac:dyDescent="0.3">
      <c r="A5" s="5">
        <v>330</v>
      </c>
      <c r="B5" s="38" t="s">
        <v>96</v>
      </c>
      <c r="C5" s="34">
        <v>200</v>
      </c>
      <c r="D5" s="16">
        <f>3.7*((100/150)*C5)/100</f>
        <v>4.9333333333333336</v>
      </c>
      <c r="E5" s="16">
        <f>8.69*((100/150)*C5)/100</f>
        <v>11.586666666666666</v>
      </c>
      <c r="F5" s="16">
        <f>24.1*((100/150)*C5)/100</f>
        <v>32.133333333333333</v>
      </c>
      <c r="G5" s="16">
        <f>192*((100/150)*C5)/100</f>
        <v>255.99999999999997</v>
      </c>
      <c r="H5" s="16">
        <f>0.06*((100/150)*C5)/100</f>
        <v>7.9999999999999988E-2</v>
      </c>
      <c r="I5" s="16">
        <f>4.87*((100/150)*C5)/100</f>
        <v>6.4933333333333323</v>
      </c>
      <c r="J5" s="16">
        <f>0.89*((100/150)*C5)/100</f>
        <v>1.1866666666666665</v>
      </c>
      <c r="K5" s="16">
        <f>0.04*((100/150)*C5)/100</f>
        <v>5.333333333333333E-2</v>
      </c>
      <c r="L5" s="16">
        <f>143.3*((100/150)*C5)/100</f>
        <v>191.06666666666663</v>
      </c>
      <c r="M5" s="16">
        <f>223.02*((100/150)*C5)/100</f>
        <v>297.35999999999996</v>
      </c>
      <c r="N5" s="16">
        <f>29.87*((100/150)*C5)/100</f>
        <v>39.826666666666661</v>
      </c>
      <c r="O5" s="17">
        <f>0.65*((100/150)*C5)/100</f>
        <v>0.86666666666666659</v>
      </c>
    </row>
    <row r="6" spans="1:15" ht="28.8" x14ac:dyDescent="0.3">
      <c r="A6" s="14">
        <v>38</v>
      </c>
      <c r="B6" s="40" t="s">
        <v>97</v>
      </c>
      <c r="C6" s="13">
        <v>100</v>
      </c>
      <c r="D6" s="21">
        <f>0.7*((100/60)*C6)/100</f>
        <v>1.1666666666666667</v>
      </c>
      <c r="E6" s="21">
        <f>3.07*((100/60)*C6)/100</f>
        <v>5.1166666666666671</v>
      </c>
      <c r="F6" s="21">
        <f>2.11*((100/60)*C6)/100</f>
        <v>3.5166666666666671</v>
      </c>
      <c r="G6" s="21">
        <f>39*((100/60)*C6)/100</f>
        <v>65.000000000000014</v>
      </c>
      <c r="H6" s="21">
        <f>0.03*((100/60)*C6)/100</f>
        <v>0.05</v>
      </c>
      <c r="I6" s="21">
        <f>5.71*((100/60)*C6)/100</f>
        <v>9.5166666666666675</v>
      </c>
      <c r="J6" s="21">
        <f>0.03*((100/60)*C6)/100</f>
        <v>0.05</v>
      </c>
      <c r="K6" s="21">
        <f>0*((100/60)*C6)/100</f>
        <v>0</v>
      </c>
      <c r="L6" s="21">
        <f>15.42*((100/60)*C6)/100</f>
        <v>25.700000000000003</v>
      </c>
      <c r="M6" s="21">
        <f>29.38*((100/60)*C6)/100</f>
        <v>48.966666666666669</v>
      </c>
      <c r="N6" s="21">
        <f>11.51*((100/60)*C6)/100</f>
        <v>19.183333333333334</v>
      </c>
      <c r="O6" s="22">
        <f>0.39*((100/60)*C6)/100</f>
        <v>0.65000000000000013</v>
      </c>
    </row>
    <row r="7" spans="1:15" x14ac:dyDescent="0.3">
      <c r="A7" s="5">
        <v>382</v>
      </c>
      <c r="B7" s="38" t="s">
        <v>21</v>
      </c>
      <c r="C7" s="34">
        <v>200</v>
      </c>
      <c r="D7" s="16">
        <f>0.2*((100/200)*C7)/100</f>
        <v>0.2</v>
      </c>
      <c r="E7" s="16">
        <f>0.05*((100/200)*C7)/100</f>
        <v>0.05</v>
      </c>
      <c r="F7" s="16">
        <f>19.01*((100/200)*C7)/100</f>
        <v>19.010000000000002</v>
      </c>
      <c r="G7" s="16">
        <f>57*((100/200)*C7)/100</f>
        <v>57</v>
      </c>
      <c r="H7" s="16">
        <f>0*((100/200)*C7)/100</f>
        <v>0</v>
      </c>
      <c r="I7" s="16">
        <f>18.1*((100/200)*C7)/100</f>
        <v>18.100000000000001</v>
      </c>
      <c r="J7" s="16">
        <f>0*((100/200)*C7)/100</f>
        <v>0</v>
      </c>
      <c r="K7" s="16">
        <f>0*((100/200)*C7)/100</f>
        <v>0</v>
      </c>
      <c r="L7" s="16">
        <f>5.25*((100/200)*C7)/100</f>
        <v>5.25</v>
      </c>
      <c r="M7" s="16">
        <f>8.24*((100/200)*C7)/100</f>
        <v>8.24</v>
      </c>
      <c r="N7" s="16">
        <f>4.4*((100/200)*C7)/100</f>
        <v>4.4000000000000004</v>
      </c>
      <c r="O7" s="17">
        <f>0.26*((100/200)*C7)/100</f>
        <v>0.26</v>
      </c>
    </row>
    <row r="8" spans="1:15" x14ac:dyDescent="0.3">
      <c r="A8" s="5"/>
      <c r="B8" s="30" t="s">
        <v>29</v>
      </c>
      <c r="C8" s="23">
        <v>50</v>
      </c>
      <c r="D8" s="16">
        <f>5.72*((100/40)*C8)/100</f>
        <v>7.15</v>
      </c>
      <c r="E8" s="16">
        <f>3.26*((100/40)*C8)/100</f>
        <v>4.0750000000000002</v>
      </c>
      <c r="F8" s="16">
        <f>14.56*((100/40)*C8)/100</f>
        <v>18.2</v>
      </c>
      <c r="G8" s="16">
        <f>67.56*((100/40)*C8)/100</f>
        <v>84.45</v>
      </c>
      <c r="H8" s="16">
        <f>0.028*((100/40)*C8)/100</f>
        <v>3.5000000000000003E-2</v>
      </c>
      <c r="I8" s="16">
        <f>2.248*((100/40)*C8)/100</f>
        <v>2.81</v>
      </c>
      <c r="J8" s="16">
        <f>1.12*((100/40)*C8)/100</f>
        <v>1.4</v>
      </c>
      <c r="K8" s="16">
        <f>0*((100/40)*C8)/100</f>
        <v>0</v>
      </c>
      <c r="L8" s="16">
        <f>7.84*((100/40)*C8)/100</f>
        <v>9.8000000000000007</v>
      </c>
      <c r="M8" s="16">
        <f>7.676*((100/40)*C8)/100</f>
        <v>9.5950000000000006</v>
      </c>
      <c r="N8" s="16">
        <f>3.692*((100/40)*C8)/100</f>
        <v>4.6150000000000002</v>
      </c>
      <c r="O8" s="17">
        <f>0.81*((100/40)*C8)/100</f>
        <v>1.0125</v>
      </c>
    </row>
    <row r="9" spans="1:15" ht="15" thickBot="1" x14ac:dyDescent="0.35">
      <c r="A9" s="6" t="s">
        <v>2</v>
      </c>
      <c r="B9" s="35"/>
      <c r="C9" s="7"/>
      <c r="D9" s="18">
        <f t="shared" ref="D9:O9" si="0">SUM(D5:D8)</f>
        <v>13.450000000000001</v>
      </c>
      <c r="E9" s="18">
        <f t="shared" si="0"/>
        <v>20.828333333333333</v>
      </c>
      <c r="F9" s="18">
        <f t="shared" si="0"/>
        <v>72.86</v>
      </c>
      <c r="G9" s="18">
        <f t="shared" si="0"/>
        <v>462.45</v>
      </c>
      <c r="H9" s="18">
        <f t="shared" si="0"/>
        <v>0.16500000000000001</v>
      </c>
      <c r="I9" s="18">
        <f t="shared" si="0"/>
        <v>36.92</v>
      </c>
      <c r="J9" s="18">
        <f t="shared" si="0"/>
        <v>2.6366666666666667</v>
      </c>
      <c r="K9" s="18">
        <f t="shared" si="0"/>
        <v>5.333333333333333E-2</v>
      </c>
      <c r="L9" s="18">
        <f t="shared" si="0"/>
        <v>231.81666666666666</v>
      </c>
      <c r="M9" s="18">
        <f t="shared" si="0"/>
        <v>364.16166666666663</v>
      </c>
      <c r="N9" s="18">
        <f t="shared" si="0"/>
        <v>68.024999999999991</v>
      </c>
      <c r="O9" s="19">
        <f t="shared" si="0"/>
        <v>2.7891666666666666</v>
      </c>
    </row>
    <row r="11" spans="1:15" ht="15" thickBot="1" x14ac:dyDescent="0.35">
      <c r="A11" s="68" t="s">
        <v>23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ht="58.2" thickBot="1" x14ac:dyDescent="0.35">
      <c r="A12" s="10" t="s">
        <v>0</v>
      </c>
      <c r="B12" s="11" t="s">
        <v>3</v>
      </c>
      <c r="C12" s="12" t="s">
        <v>4</v>
      </c>
      <c r="D12" s="62" t="s">
        <v>5</v>
      </c>
      <c r="E12" s="63"/>
      <c r="F12" s="64"/>
      <c r="G12" s="12" t="s">
        <v>6</v>
      </c>
      <c r="H12" s="62" t="s">
        <v>7</v>
      </c>
      <c r="I12" s="63"/>
      <c r="J12" s="63"/>
      <c r="K12" s="64"/>
      <c r="L12" s="65" t="s">
        <v>8</v>
      </c>
      <c r="M12" s="66"/>
      <c r="N12" s="66"/>
      <c r="O12" s="67"/>
    </row>
    <row r="13" spans="1:15" x14ac:dyDescent="0.3">
      <c r="A13" s="4" t="s">
        <v>1</v>
      </c>
      <c r="B13" s="32"/>
      <c r="C13" s="33"/>
      <c r="D13" s="33" t="s">
        <v>9</v>
      </c>
      <c r="E13" s="33" t="s">
        <v>10</v>
      </c>
      <c r="F13" s="33" t="s">
        <v>11</v>
      </c>
      <c r="G13" s="33"/>
      <c r="H13" s="33" t="s">
        <v>12</v>
      </c>
      <c r="I13" s="33" t="s">
        <v>13</v>
      </c>
      <c r="J13" s="33" t="s">
        <v>14</v>
      </c>
      <c r="K13" s="33" t="s">
        <v>15</v>
      </c>
      <c r="L13" s="33" t="s">
        <v>16</v>
      </c>
      <c r="M13" s="33" t="s">
        <v>17</v>
      </c>
      <c r="N13" s="33" t="s">
        <v>18</v>
      </c>
      <c r="O13" s="31" t="s">
        <v>19</v>
      </c>
    </row>
    <row r="14" spans="1:15" ht="28.8" x14ac:dyDescent="0.3">
      <c r="A14" s="5">
        <v>64</v>
      </c>
      <c r="B14" s="38" t="s">
        <v>51</v>
      </c>
      <c r="C14" s="34">
        <v>100</v>
      </c>
      <c r="D14" s="16">
        <f>0.84*((100/60)*C14)/100</f>
        <v>1.4</v>
      </c>
      <c r="E14" s="16">
        <f>5.05*((100/60)*C14)/100</f>
        <v>8.4166666666666679</v>
      </c>
      <c r="F14" s="16">
        <f>5.07*((100/60)*C14)/100</f>
        <v>8.4500000000000011</v>
      </c>
      <c r="G14" s="16">
        <f>69*((100/60)*C14)/100</f>
        <v>115.00000000000001</v>
      </c>
      <c r="H14" s="16">
        <f>0.01*((100/60)*C14)/100</f>
        <v>1.666666666666667E-2</v>
      </c>
      <c r="I14" s="16">
        <f>5.64*((100/60)*C14)/100</f>
        <v>9.4</v>
      </c>
      <c r="J14" s="16">
        <f>0.02*((100/60)*C14)/100</f>
        <v>3.333333333333334E-2</v>
      </c>
      <c r="K14" s="16">
        <f>0*((100/60)*C14)/100</f>
        <v>0</v>
      </c>
      <c r="L14" s="16">
        <f>23.07*((100/60)*C14)/100</f>
        <v>38.450000000000003</v>
      </c>
      <c r="M14" s="16">
        <f>24.25*((100/60)*C14)/100</f>
        <v>40.416666666666671</v>
      </c>
      <c r="N14" s="16">
        <f>12.54*((100/60)*C14)/100</f>
        <v>20.9</v>
      </c>
      <c r="O14" s="17">
        <f>0.8*((100/60)*C14)/100</f>
        <v>1.3333333333333335</v>
      </c>
    </row>
    <row r="15" spans="1:15" ht="28.8" x14ac:dyDescent="0.3">
      <c r="A15" s="8">
        <v>107</v>
      </c>
      <c r="B15" s="51" t="s">
        <v>52</v>
      </c>
      <c r="C15" s="9">
        <v>250</v>
      </c>
      <c r="D15" s="25">
        <f>2.42*((100/250)*C15)/100</f>
        <v>2.42</v>
      </c>
      <c r="E15" s="25">
        <f>4.35*((100/250)*C15)/100</f>
        <v>4.3499999999999996</v>
      </c>
      <c r="F15" s="25">
        <f>15.78*((100/250)*C15)/100</f>
        <v>15.78</v>
      </c>
      <c r="G15" s="25">
        <f>113*((100/250)*C15)/100</f>
        <v>113</v>
      </c>
      <c r="H15" s="25">
        <f>0.04*((100/250)*C15)/100</f>
        <v>0.04</v>
      </c>
      <c r="I15" s="25">
        <f>1.89*((100/250)*C15)/100</f>
        <v>1.89</v>
      </c>
      <c r="J15" s="25">
        <f>1.01*((100/250)*C15)/100</f>
        <v>1.01</v>
      </c>
      <c r="K15" s="25">
        <f>0.02*((100/250)*C15)/100</f>
        <v>0.02</v>
      </c>
      <c r="L15" s="25">
        <f>73.82*((100/250)*C15)/100</f>
        <v>73.819999999999993</v>
      </c>
      <c r="M15" s="25">
        <f>50.7*((100/250)*C15)/100</f>
        <v>50.7</v>
      </c>
      <c r="N15" s="25">
        <f>8.47*((100/250)*C15)/100</f>
        <v>8.4700000000000006</v>
      </c>
      <c r="O15" s="26">
        <f>0.31*((100/250)*C15)/100</f>
        <v>0.31</v>
      </c>
    </row>
    <row r="16" spans="1:15" x14ac:dyDescent="0.3">
      <c r="A16" s="5">
        <v>445</v>
      </c>
      <c r="B16" s="30" t="s">
        <v>53</v>
      </c>
      <c r="C16" s="34">
        <v>180</v>
      </c>
      <c r="D16" s="16">
        <f>4.75*((100/150)*C16)/100</f>
        <v>5.7</v>
      </c>
      <c r="E16" s="16">
        <f>6.61*((100/150)*C16)/100</f>
        <v>7.9320000000000004</v>
      </c>
      <c r="F16" s="16">
        <f>43.07*((100/150)*C16)/100</f>
        <v>51.683999999999997</v>
      </c>
      <c r="G16" s="16">
        <f>220*((100/150)*C16)/100</f>
        <v>264</v>
      </c>
      <c r="H16" s="16">
        <f>0.25*((100/150)*C16)/100</f>
        <v>0.3</v>
      </c>
      <c r="I16" s="16">
        <f>0*((100/150)*C16)/100</f>
        <v>0</v>
      </c>
      <c r="J16" s="16">
        <f>0*((100/150)*C16)/100</f>
        <v>0</v>
      </c>
      <c r="K16" s="16">
        <f>0*((100/150)*C16)/100</f>
        <v>0</v>
      </c>
      <c r="L16" s="16">
        <f>14.24*((100/150)*C16)/100</f>
        <v>17.088000000000001</v>
      </c>
      <c r="M16" s="16">
        <f>207.47*((100/150)*C16)/100</f>
        <v>248.96400000000003</v>
      </c>
      <c r="N16" s="16">
        <f>35.72*((100/150)*C16)/100</f>
        <v>42.863999999999997</v>
      </c>
      <c r="O16" s="17">
        <f>2.67*((100/150)*C16)/100</f>
        <v>3.2039999999999997</v>
      </c>
    </row>
    <row r="17" spans="1:15" x14ac:dyDescent="0.3">
      <c r="A17" s="5">
        <v>207</v>
      </c>
      <c r="B17" s="38" t="s">
        <v>39</v>
      </c>
      <c r="C17" s="34">
        <v>100</v>
      </c>
      <c r="D17" s="16">
        <f>12.97*((100/80)*C17)/100</f>
        <v>16.212499999999999</v>
      </c>
      <c r="E17" s="16">
        <f>5.9*((100/80)*C17)/100</f>
        <v>7.375</v>
      </c>
      <c r="F17" s="16">
        <f>0.9*((100/80)*C17)/100</f>
        <v>1.125</v>
      </c>
      <c r="G17" s="16">
        <f>167.2*((100/80)*C17)/100</f>
        <v>209</v>
      </c>
      <c r="H17" s="16">
        <f>0.032*((100/80)*C17)/100</f>
        <v>0.04</v>
      </c>
      <c r="I17" s="16">
        <f>9.92*((100/80)*C17)/100</f>
        <v>12.4</v>
      </c>
      <c r="J17" s="16">
        <f>0.024*((100/80)*C17)/100</f>
        <v>0.03</v>
      </c>
      <c r="K17" s="16">
        <f>0.016*((100/80)*C17)/100</f>
        <v>0.02</v>
      </c>
      <c r="L17" s="16">
        <f>27.2*((100/80)*C17)/100</f>
        <v>34</v>
      </c>
      <c r="M17" s="16">
        <f>82.4*((100/80)*C17)/100</f>
        <v>103</v>
      </c>
      <c r="N17" s="16">
        <f>16.8*((100/80)*C17)/100</f>
        <v>21</v>
      </c>
      <c r="O17" s="17">
        <f>1.2*((100/80)*C17)/100</f>
        <v>1.5</v>
      </c>
    </row>
    <row r="18" spans="1:15" x14ac:dyDescent="0.3">
      <c r="A18" s="5">
        <v>389</v>
      </c>
      <c r="B18" s="40" t="s">
        <v>54</v>
      </c>
      <c r="C18" s="13">
        <v>200</v>
      </c>
      <c r="D18" s="21">
        <f>1.3*((100/200)*C18)/100</f>
        <v>1.3</v>
      </c>
      <c r="E18" s="21">
        <f>0*((100/200)*C18)/100</f>
        <v>0</v>
      </c>
      <c r="F18" s="21">
        <f>23.73*((100/200)*C18)/100</f>
        <v>23.73</v>
      </c>
      <c r="G18" s="21">
        <f>96*((100/200)*C18)/100</f>
        <v>96</v>
      </c>
      <c r="H18" s="21">
        <f>0.02*((100/200)*C18)/100</f>
        <v>0.02</v>
      </c>
      <c r="I18" s="21">
        <f>1*((100/200)*C18)/100</f>
        <v>1</v>
      </c>
      <c r="J18" s="21">
        <f>0.05*((100/200)*C18)/100</f>
        <v>0.05</v>
      </c>
      <c r="K18" s="21">
        <f>0*((100/200)*C18)/100</f>
        <v>0</v>
      </c>
      <c r="L18" s="21">
        <f>40.2*((100/200)*C18)/100</f>
        <v>40.200000000000003</v>
      </c>
      <c r="M18" s="21">
        <f>36.5*((100/200)*C18)/100</f>
        <v>36.5</v>
      </c>
      <c r="N18" s="21">
        <f>26.25*((100/200)*C18)/100</f>
        <v>26.25</v>
      </c>
      <c r="O18" s="22">
        <f>0.83*((100/200)*C18)/100</f>
        <v>0.83</v>
      </c>
    </row>
    <row r="19" spans="1:15" x14ac:dyDescent="0.3">
      <c r="A19" s="15"/>
      <c r="B19" s="39" t="s">
        <v>29</v>
      </c>
      <c r="C19" s="13">
        <v>40</v>
      </c>
      <c r="D19" s="21">
        <f>7.15*((100/50)*C19)/100</f>
        <v>5.72</v>
      </c>
      <c r="E19" s="21">
        <f>4.075*((100/50)*C19)/100</f>
        <v>3.26</v>
      </c>
      <c r="F19" s="21">
        <f>18.2*((100/50)*C19)/100</f>
        <v>14.56</v>
      </c>
      <c r="G19" s="21">
        <f>84.45*((100/50)*C19)/100</f>
        <v>67.56</v>
      </c>
      <c r="H19" s="21">
        <f>0.03*((100/50)*C19)/100</f>
        <v>2.4E-2</v>
      </c>
      <c r="I19" s="21">
        <f>3.56*((100/50)*C19)/100</f>
        <v>2.8480000000000003</v>
      </c>
      <c r="J19" s="21">
        <f>1.52*((100/50)*C19)/100</f>
        <v>1.216</v>
      </c>
      <c r="K19" s="21">
        <f>0*((100/50)*C19)/100</f>
        <v>0</v>
      </c>
      <c r="L19" s="21">
        <f>9.8*((100/50)*C19)/100</f>
        <v>7.84</v>
      </c>
      <c r="M19" s="21">
        <f>35.6*((100/50)*C19)/100</f>
        <v>28.48</v>
      </c>
      <c r="N19" s="21">
        <f>3.9*((100/50)*C19)/100</f>
        <v>3.12</v>
      </c>
      <c r="O19" s="22">
        <f>0.16*((100/50)*C19)/100</f>
        <v>0.128</v>
      </c>
    </row>
    <row r="20" spans="1:15" x14ac:dyDescent="0.3">
      <c r="A20" s="15"/>
      <c r="B20" s="40" t="s">
        <v>30</v>
      </c>
      <c r="C20" s="13">
        <v>50</v>
      </c>
      <c r="D20" s="21">
        <f>1.432*((100/40)*C20)/100</f>
        <v>1.79</v>
      </c>
      <c r="E20" s="21">
        <f>0.336*((100/40)*C20)/100</f>
        <v>0.42</v>
      </c>
      <c r="F20" s="21">
        <f>16.92*((100/40)*C20)/100</f>
        <v>21.15</v>
      </c>
      <c r="G20" s="21">
        <f>77.04*((100/40)*C20)/100</f>
        <v>96.3</v>
      </c>
      <c r="H20" s="21">
        <f>0.06*((100/40)*C20)/100</f>
        <v>7.4999999999999997E-2</v>
      </c>
      <c r="I20" s="16">
        <f>0*((100/40)*C20)/100</f>
        <v>0</v>
      </c>
      <c r="J20" s="21">
        <f>1.52*((100/40)*C20)/100</f>
        <v>1.9</v>
      </c>
      <c r="K20" s="16">
        <f>0*((100/40)*C20)/100</f>
        <v>0</v>
      </c>
      <c r="L20" s="21">
        <f>14.4*((100/40)*C20)/100</f>
        <v>18</v>
      </c>
      <c r="M20" s="21">
        <f>0.872*((100/40)*C20)/100</f>
        <v>1.0900000000000001</v>
      </c>
      <c r="N20" s="21">
        <f>8.92*((100/40)*C20)/100</f>
        <v>11.15</v>
      </c>
      <c r="O20" s="22">
        <f>0.36*((100/40)*C20)/100</f>
        <v>0.45</v>
      </c>
    </row>
    <row r="21" spans="1:15" ht="15" thickBot="1" x14ac:dyDescent="0.35">
      <c r="A21" s="6" t="s">
        <v>2</v>
      </c>
      <c r="B21" s="35"/>
      <c r="C21" s="7"/>
      <c r="D21" s="18">
        <f t="shared" ref="D21:O21" si="1">SUM(D14:D20)</f>
        <v>34.542499999999997</v>
      </c>
      <c r="E21" s="18">
        <f t="shared" si="1"/>
        <v>31.753666666666668</v>
      </c>
      <c r="F21" s="18">
        <f t="shared" si="1"/>
        <v>136.47900000000001</v>
      </c>
      <c r="G21" s="18">
        <f t="shared" si="1"/>
        <v>960.8599999999999</v>
      </c>
      <c r="H21" s="18">
        <f t="shared" si="1"/>
        <v>0.51566666666666672</v>
      </c>
      <c r="I21" s="18">
        <f t="shared" si="1"/>
        <v>27.538</v>
      </c>
      <c r="J21" s="18">
        <f t="shared" si="1"/>
        <v>4.2393333333333327</v>
      </c>
      <c r="K21" s="18">
        <f t="shared" si="1"/>
        <v>0.04</v>
      </c>
      <c r="L21" s="18">
        <f t="shared" si="1"/>
        <v>229.398</v>
      </c>
      <c r="M21" s="18">
        <f t="shared" si="1"/>
        <v>509.15066666666672</v>
      </c>
      <c r="N21" s="18">
        <f t="shared" si="1"/>
        <v>133.75399999999999</v>
      </c>
      <c r="O21" s="19">
        <f t="shared" si="1"/>
        <v>7.7553333333333336</v>
      </c>
    </row>
    <row r="23" spans="1:15" ht="15" thickBot="1" x14ac:dyDescent="0.35"/>
    <row r="24" spans="1:15" ht="15" thickBot="1" x14ac:dyDescent="0.35">
      <c r="A24" s="41" t="s">
        <v>80</v>
      </c>
      <c r="B24" s="42"/>
      <c r="C24" s="42"/>
      <c r="D24" s="43">
        <f t="shared" ref="D24:O24" si="2">D9+D21</f>
        <v>47.9925</v>
      </c>
      <c r="E24" s="43">
        <f t="shared" si="2"/>
        <v>52.582000000000001</v>
      </c>
      <c r="F24" s="43">
        <f t="shared" si="2"/>
        <v>209.339</v>
      </c>
      <c r="G24" s="43">
        <f t="shared" si="2"/>
        <v>1423.31</v>
      </c>
      <c r="H24" s="43">
        <f t="shared" si="2"/>
        <v>0.68066666666666675</v>
      </c>
      <c r="I24" s="43">
        <f t="shared" si="2"/>
        <v>64.457999999999998</v>
      </c>
      <c r="J24" s="43">
        <f t="shared" si="2"/>
        <v>6.8759999999999994</v>
      </c>
      <c r="K24" s="43">
        <f t="shared" si="2"/>
        <v>9.3333333333333324E-2</v>
      </c>
      <c r="L24" s="43">
        <f t="shared" si="2"/>
        <v>461.21466666666663</v>
      </c>
      <c r="M24" s="43">
        <f t="shared" si="2"/>
        <v>873.3123333333333</v>
      </c>
      <c r="N24" s="43">
        <f t="shared" si="2"/>
        <v>201.779</v>
      </c>
      <c r="O24" s="44">
        <f t="shared" si="2"/>
        <v>10.544499999999999</v>
      </c>
    </row>
  </sheetData>
  <mergeCells count="9">
    <mergeCell ref="D12:F12"/>
    <mergeCell ref="H12:K12"/>
    <mergeCell ref="L12:O12"/>
    <mergeCell ref="A1:O1"/>
    <mergeCell ref="A2:O2"/>
    <mergeCell ref="D3:F3"/>
    <mergeCell ref="H3:K3"/>
    <mergeCell ref="L3:O3"/>
    <mergeCell ref="A11:O11"/>
  </mergeCells>
  <pageMargins left="0.51181102362204722" right="0.11811023622047245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C29" sqref="C29"/>
    </sheetView>
  </sheetViews>
  <sheetFormatPr defaultRowHeight="14.4" x14ac:dyDescent="0.3"/>
  <cols>
    <col min="1" max="1" width="10.6640625" customWidth="1"/>
    <col min="2" max="2" width="20.88671875" bestFit="1" customWidth="1"/>
  </cols>
  <sheetData>
    <row r="1" spans="1:15" x14ac:dyDescent="0.3">
      <c r="A1" s="54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" thickBot="1" x14ac:dyDescent="0.35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58.2" thickBot="1" x14ac:dyDescent="0.35">
      <c r="A3" s="10" t="s">
        <v>0</v>
      </c>
      <c r="B3" s="11" t="s">
        <v>3</v>
      </c>
      <c r="C3" s="12" t="s">
        <v>4</v>
      </c>
      <c r="D3" s="62" t="s">
        <v>5</v>
      </c>
      <c r="E3" s="63"/>
      <c r="F3" s="64"/>
      <c r="G3" s="12" t="s">
        <v>6</v>
      </c>
      <c r="H3" s="62" t="s">
        <v>7</v>
      </c>
      <c r="I3" s="63"/>
      <c r="J3" s="63"/>
      <c r="K3" s="64"/>
      <c r="L3" s="65" t="s">
        <v>8</v>
      </c>
      <c r="M3" s="66"/>
      <c r="N3" s="66"/>
      <c r="O3" s="67"/>
    </row>
    <row r="4" spans="1:15" x14ac:dyDescent="0.3">
      <c r="A4" s="4" t="s">
        <v>1</v>
      </c>
      <c r="B4" s="32"/>
      <c r="C4" s="33"/>
      <c r="D4" s="33" t="s">
        <v>9</v>
      </c>
      <c r="E4" s="33" t="s">
        <v>10</v>
      </c>
      <c r="F4" s="33" t="s">
        <v>11</v>
      </c>
      <c r="G4" s="33"/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1" t="s">
        <v>19</v>
      </c>
    </row>
    <row r="5" spans="1:15" ht="28.8" x14ac:dyDescent="0.3">
      <c r="A5" s="5">
        <v>328</v>
      </c>
      <c r="B5" s="38" t="s">
        <v>99</v>
      </c>
      <c r="C5" s="34">
        <v>200</v>
      </c>
      <c r="D5" s="16">
        <f>4.47*((100/150)*C5)/100</f>
        <v>5.9599999999999991</v>
      </c>
      <c r="E5" s="16">
        <f>8.8*((100/150)*C5)/100</f>
        <v>11.733333333333333</v>
      </c>
      <c r="F5" s="16">
        <f>23.2*((100/150)*C5)/100</f>
        <v>30.933333333333326</v>
      </c>
      <c r="G5" s="16">
        <f>190*((100/150)*C5)/100</f>
        <v>253.33333333333329</v>
      </c>
      <c r="H5" s="16">
        <f>0.8*((100/150)*C5)/100</f>
        <v>1.0666666666666667</v>
      </c>
      <c r="I5" s="16">
        <f>0.95*((100/150)*C5)/100</f>
        <v>1.2666666666666664</v>
      </c>
      <c r="J5" s="16">
        <f>0.22*((100/150)*C5)/100</f>
        <v>0.29333333333333328</v>
      </c>
      <c r="K5" s="16">
        <f>0.04*((100/150)*C5)/100</f>
        <v>5.333333333333333E-2</v>
      </c>
      <c r="L5" s="16">
        <f>167.38*((100/150)*C5)/100</f>
        <v>223.17333333333329</v>
      </c>
      <c r="M5" s="16">
        <f>149.54*((100/150)*C5)/100</f>
        <v>199.38666666666666</v>
      </c>
      <c r="N5" s="16">
        <f>25.12*((100/150)*C5)/100</f>
        <v>33.493333333333332</v>
      </c>
      <c r="O5" s="17">
        <f>0.69*((100/150)*C5)/100</f>
        <v>0.91999999999999982</v>
      </c>
    </row>
    <row r="6" spans="1:15" ht="28.8" x14ac:dyDescent="0.3">
      <c r="A6" s="5">
        <v>11</v>
      </c>
      <c r="B6" s="38" t="s">
        <v>91</v>
      </c>
      <c r="C6" s="34">
        <v>100</v>
      </c>
      <c r="D6" s="16">
        <f>0.74*((100/60)*C6)/100</f>
        <v>1.2333333333333334</v>
      </c>
      <c r="E6" s="16">
        <f>0.05*((100/60)*C6)/100</f>
        <v>8.3333333333333343E-2</v>
      </c>
      <c r="F6" s="16">
        <f>7.14*((100/60)*C6)/100</f>
        <v>11.9</v>
      </c>
      <c r="G6" s="16">
        <f>31*((100/60)*C6)/100</f>
        <v>51.666666666666671</v>
      </c>
      <c r="H6" s="21">
        <f>0.01*((100/60)*C6)/100</f>
        <v>1.666666666666667E-2</v>
      </c>
      <c r="I6" s="21">
        <f>2.3*((100/60)*C6)/100</f>
        <v>3.8333333333333339</v>
      </c>
      <c r="J6" s="21">
        <f>0.04*((100/60)*C6)/100</f>
        <v>6.666666666666668E-2</v>
      </c>
      <c r="K6" s="21">
        <f>0.02*((100/60)*C6)/100</f>
        <v>3.333333333333334E-2</v>
      </c>
      <c r="L6" s="21">
        <f>93.76*((100/60)*C6)/100</f>
        <v>156.26666666666671</v>
      </c>
      <c r="M6" s="21">
        <f>63.64*((100/60)*C6)/100</f>
        <v>106.06666666666668</v>
      </c>
      <c r="N6" s="21">
        <f>6.18*((100/60)*C6)/100</f>
        <v>10.3</v>
      </c>
      <c r="O6" s="22">
        <f>0.25*((100/60)*C6)/100</f>
        <v>0.41666666666666674</v>
      </c>
    </row>
    <row r="7" spans="1:15" x14ac:dyDescent="0.3">
      <c r="A7" s="14">
        <v>422</v>
      </c>
      <c r="B7" s="40" t="s">
        <v>36</v>
      </c>
      <c r="C7" s="13">
        <v>200</v>
      </c>
      <c r="D7" s="21">
        <f>1.4*((100/200)*C7)/100</f>
        <v>1.4</v>
      </c>
      <c r="E7" s="21">
        <f>1.6*((100/200)*C7)/100</f>
        <v>1.6</v>
      </c>
      <c r="F7" s="21">
        <f>22.31*((100/200)*C7)/100</f>
        <v>22.31</v>
      </c>
      <c r="G7" s="21">
        <f>105*((100/200)*C7)/100</f>
        <v>105</v>
      </c>
      <c r="H7" s="21">
        <f>0.02*((100/200)*C7)/100</f>
        <v>0.02</v>
      </c>
      <c r="I7" s="21">
        <f>0.65*((100/200)*C7)/100</f>
        <v>0.65</v>
      </c>
      <c r="J7" s="21">
        <f>0.11*((100/200)*C7)/100</f>
        <v>0.11</v>
      </c>
      <c r="K7" s="21">
        <f>0.01*((100/200)*C7)/100</f>
        <v>0.01</v>
      </c>
      <c r="L7" s="21">
        <f>116.4*((100/200)*C7)/100</f>
        <v>116.4</v>
      </c>
      <c r="M7" s="21">
        <f>145*((100/200)*C7)/100</f>
        <v>145</v>
      </c>
      <c r="N7" s="21">
        <f>7*((100/200)*C7)/100</f>
        <v>7</v>
      </c>
      <c r="O7" s="22">
        <f>0.09*((100/200)*C7)/100</f>
        <v>0.09</v>
      </c>
    </row>
    <row r="8" spans="1:15" x14ac:dyDescent="0.3">
      <c r="A8" s="5"/>
      <c r="B8" s="30" t="s">
        <v>29</v>
      </c>
      <c r="C8" s="23">
        <v>50</v>
      </c>
      <c r="D8" s="16">
        <f>5.72*((100/40)*C8)/100</f>
        <v>7.15</v>
      </c>
      <c r="E8" s="16">
        <f>3.26*((100/40)*C8)/100</f>
        <v>4.0750000000000002</v>
      </c>
      <c r="F8" s="16">
        <f>14.56*((100/40)*C8)/100</f>
        <v>18.2</v>
      </c>
      <c r="G8" s="16">
        <f>67.56*((100/40)*C8)/100</f>
        <v>84.45</v>
      </c>
      <c r="H8" s="16">
        <f>0.028*((100/40)*C8)/100</f>
        <v>3.5000000000000003E-2</v>
      </c>
      <c r="I8" s="16">
        <f>2.248*((100/40)*C8)/100</f>
        <v>2.81</v>
      </c>
      <c r="J8" s="16">
        <f>1.12*((100/40)*C8)/100</f>
        <v>1.4</v>
      </c>
      <c r="K8" s="16">
        <f>0*((100/40)*C8)/100</f>
        <v>0</v>
      </c>
      <c r="L8" s="16">
        <f>7.84*((100/40)*C8)/100</f>
        <v>9.8000000000000007</v>
      </c>
      <c r="M8" s="16">
        <f>7.676*((100/40)*C8)/100</f>
        <v>9.5950000000000006</v>
      </c>
      <c r="N8" s="16">
        <f>3.692*((100/40)*C8)/100</f>
        <v>4.6150000000000002</v>
      </c>
      <c r="O8" s="17">
        <f>0.81*((100/40)*C8)/100</f>
        <v>1.0125</v>
      </c>
    </row>
    <row r="9" spans="1:15" ht="15" thickBot="1" x14ac:dyDescent="0.35">
      <c r="A9" s="6" t="s">
        <v>2</v>
      </c>
      <c r="B9" s="35"/>
      <c r="C9" s="7"/>
      <c r="D9" s="18">
        <f t="shared" ref="D9:O9" si="0">SUM(D5:D8)</f>
        <v>15.743333333333332</v>
      </c>
      <c r="E9" s="18">
        <f t="shared" si="0"/>
        <v>17.491666666666667</v>
      </c>
      <c r="F9" s="18">
        <f t="shared" si="0"/>
        <v>83.343333333333334</v>
      </c>
      <c r="G9" s="18">
        <f t="shared" si="0"/>
        <v>494.44999999999993</v>
      </c>
      <c r="H9" s="18">
        <f t="shared" si="0"/>
        <v>1.1383333333333332</v>
      </c>
      <c r="I9" s="18">
        <f t="shared" si="0"/>
        <v>8.56</v>
      </c>
      <c r="J9" s="18">
        <f t="shared" si="0"/>
        <v>1.8699999999999999</v>
      </c>
      <c r="K9" s="18">
        <f t="shared" si="0"/>
        <v>9.6666666666666665E-2</v>
      </c>
      <c r="L9" s="18">
        <f t="shared" si="0"/>
        <v>505.64000000000004</v>
      </c>
      <c r="M9" s="18">
        <f t="shared" si="0"/>
        <v>460.04833333333335</v>
      </c>
      <c r="N9" s="18">
        <f t="shared" si="0"/>
        <v>55.408333333333339</v>
      </c>
      <c r="O9" s="19">
        <f t="shared" si="0"/>
        <v>2.4391666666666665</v>
      </c>
    </row>
    <row r="11" spans="1:15" ht="15" thickBot="1" x14ac:dyDescent="0.35">
      <c r="A11" s="68" t="s">
        <v>23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ht="58.2" thickBot="1" x14ac:dyDescent="0.35">
      <c r="A12" s="10" t="s">
        <v>0</v>
      </c>
      <c r="B12" s="11" t="s">
        <v>3</v>
      </c>
      <c r="C12" s="12" t="s">
        <v>4</v>
      </c>
      <c r="D12" s="62" t="s">
        <v>5</v>
      </c>
      <c r="E12" s="63"/>
      <c r="F12" s="64"/>
      <c r="G12" s="12" t="s">
        <v>6</v>
      </c>
      <c r="H12" s="62" t="s">
        <v>7</v>
      </c>
      <c r="I12" s="63"/>
      <c r="J12" s="63"/>
      <c r="K12" s="64"/>
      <c r="L12" s="65" t="s">
        <v>8</v>
      </c>
      <c r="M12" s="66"/>
      <c r="N12" s="66"/>
      <c r="O12" s="67"/>
    </row>
    <row r="13" spans="1:15" x14ac:dyDescent="0.3">
      <c r="A13" s="4" t="s">
        <v>1</v>
      </c>
      <c r="B13" s="32"/>
      <c r="C13" s="33"/>
      <c r="D13" s="33" t="s">
        <v>9</v>
      </c>
      <c r="E13" s="33" t="s">
        <v>10</v>
      </c>
      <c r="F13" s="33" t="s">
        <v>11</v>
      </c>
      <c r="G13" s="33"/>
      <c r="H13" s="33" t="s">
        <v>12</v>
      </c>
      <c r="I13" s="33" t="s">
        <v>13</v>
      </c>
      <c r="J13" s="33" t="s">
        <v>14</v>
      </c>
      <c r="K13" s="33" t="s">
        <v>15</v>
      </c>
      <c r="L13" s="33" t="s">
        <v>16</v>
      </c>
      <c r="M13" s="33" t="s">
        <v>17</v>
      </c>
      <c r="N13" s="33" t="s">
        <v>18</v>
      </c>
      <c r="O13" s="31" t="s">
        <v>19</v>
      </c>
    </row>
    <row r="14" spans="1:15" x14ac:dyDescent="0.3">
      <c r="A14" s="5">
        <v>12</v>
      </c>
      <c r="B14" s="30" t="s">
        <v>86</v>
      </c>
      <c r="C14" s="34">
        <v>100</v>
      </c>
      <c r="D14" s="16">
        <f>0.4*((100/50)*C14)/100</f>
        <v>0.8</v>
      </c>
      <c r="E14" s="16">
        <f>0.05*((100/50)*C14)/100</f>
        <v>0.1</v>
      </c>
      <c r="F14" s="16">
        <f>1.3*((100/50)*C14)/100</f>
        <v>2.6</v>
      </c>
      <c r="G14" s="16">
        <f>7*((100/50)*C14)/100</f>
        <v>14</v>
      </c>
      <c r="H14" s="16">
        <f>0.04*((100/60)*C14)/100</f>
        <v>6.666666666666668E-2</v>
      </c>
      <c r="I14" s="16">
        <f>4.05*((100/60)*C14)/100</f>
        <v>6.75</v>
      </c>
      <c r="J14" s="16">
        <f>0*((100/60)*C14)/100</f>
        <v>0</v>
      </c>
      <c r="K14" s="16">
        <f>0*((100/60)*C14)/100</f>
        <v>0</v>
      </c>
      <c r="L14" s="16">
        <f>30.9*((100/60)*C14)/100</f>
        <v>51.5</v>
      </c>
      <c r="M14" s="16">
        <f>35.41*((100/60)*C14)/100</f>
        <v>59.016666666666673</v>
      </c>
      <c r="N14" s="16">
        <f>20.79*((100/60)*C14)/100</f>
        <v>34.650000000000006</v>
      </c>
      <c r="O14" s="17">
        <f>0.59*((100/60)*C14)/100</f>
        <v>0.98333333333333339</v>
      </c>
    </row>
    <row r="15" spans="1:15" ht="28.8" x14ac:dyDescent="0.3">
      <c r="A15" s="8">
        <v>125</v>
      </c>
      <c r="B15" s="51" t="s">
        <v>57</v>
      </c>
      <c r="C15" s="9">
        <v>250</v>
      </c>
      <c r="D15" s="25">
        <f>2.42*((100/250)*C15)/100</f>
        <v>2.42</v>
      </c>
      <c r="E15" s="25">
        <f>4.41*((100/250)*C15)/100</f>
        <v>4.41</v>
      </c>
      <c r="F15" s="25">
        <f>20*((100/250)*C15)/100</f>
        <v>20</v>
      </c>
      <c r="G15" s="25">
        <f>136*((100/250)*C15)/100</f>
        <v>136</v>
      </c>
      <c r="H15" s="25">
        <f>0.21*((100/250)*C15)/100</f>
        <v>0.21</v>
      </c>
      <c r="I15" s="25">
        <f>9.3*((100/250)*C15)/100</f>
        <v>9.3000000000000007</v>
      </c>
      <c r="J15" s="25">
        <f>1.05*((100/250)*C15)/100</f>
        <v>1.05</v>
      </c>
      <c r="K15" s="25">
        <f>0.03*((100/250)*C15)/100</f>
        <v>0.03</v>
      </c>
      <c r="L15" s="25">
        <f>68.59*((100/250)*C15)/100</f>
        <v>68.59</v>
      </c>
      <c r="M15" s="25">
        <f>141.55*((100/250)*C15)/100</f>
        <v>141.55000000000001</v>
      </c>
      <c r="N15" s="25">
        <f>20.3*((100/250)*C15)/100</f>
        <v>20.3</v>
      </c>
      <c r="O15" s="26">
        <f>0.37*((100/250)*C15)/100</f>
        <v>0.37</v>
      </c>
    </row>
    <row r="16" spans="1:15" x14ac:dyDescent="0.3">
      <c r="A16" s="5">
        <v>159</v>
      </c>
      <c r="B16" s="38" t="s">
        <v>58</v>
      </c>
      <c r="C16" s="34">
        <v>100</v>
      </c>
      <c r="D16" s="16">
        <f>8.74*((100/60)*C16)/100</f>
        <v>14.56666666666667</v>
      </c>
      <c r="E16" s="16">
        <f>9.3*((100/60)*C16)/100</f>
        <v>15.500000000000002</v>
      </c>
      <c r="F16" s="16">
        <f>8.4*((100/60)*C16)/100</f>
        <v>14.000000000000002</v>
      </c>
      <c r="G16" s="16">
        <f>153*((100/60)*C16)/100</f>
        <v>255.00000000000003</v>
      </c>
      <c r="H16" s="16">
        <f>0.05*((100/60)*C16)/100</f>
        <v>8.3333333333333343E-2</v>
      </c>
      <c r="I16" s="16">
        <f>1.04*((100/60)*C16)/100</f>
        <v>1.7333333333333336</v>
      </c>
      <c r="J16" s="16">
        <f>0.09*((100/60)*C16)/100</f>
        <v>0.15000000000000002</v>
      </c>
      <c r="K16" s="16">
        <f>0.04*((100/60)*C16)/100</f>
        <v>6.666666666666668E-2</v>
      </c>
      <c r="L16" s="16">
        <f>15.21*((100/60)*C16)/100</f>
        <v>25.350000000000005</v>
      </c>
      <c r="M16" s="16">
        <f>91.63*((100/60)*C16)/100</f>
        <v>152.71666666666667</v>
      </c>
      <c r="N16" s="16">
        <f>17.05*((100/60)*C16)/100</f>
        <v>28.416666666666671</v>
      </c>
      <c r="O16" s="17">
        <f>0.97*((100/60)*C16)/100</f>
        <v>1.6166666666666669</v>
      </c>
    </row>
    <row r="17" spans="1:15" x14ac:dyDescent="0.3">
      <c r="A17" s="5">
        <v>439</v>
      </c>
      <c r="B17" s="30" t="s">
        <v>89</v>
      </c>
      <c r="C17" s="34">
        <v>180</v>
      </c>
      <c r="D17" s="16">
        <f>3.5*((100/150)*C17)/100</f>
        <v>4.2</v>
      </c>
      <c r="E17" s="16">
        <f>4.5*((100/150)*C17)/100</f>
        <v>5.4</v>
      </c>
      <c r="F17" s="16">
        <f>15.09*((100/150)*C17)/100</f>
        <v>18.108000000000001</v>
      </c>
      <c r="G17" s="16">
        <f>115.5*((100/150)*C17)/100</f>
        <v>138.6</v>
      </c>
      <c r="H17" s="16">
        <f>0.15*((100/150)*C17)/100</f>
        <v>0.18</v>
      </c>
      <c r="I17" s="16">
        <f>2.95*((100/150)*C17)/100</f>
        <v>3.54</v>
      </c>
      <c r="J17" s="16">
        <f>0.2*((100/150)*C17)/100</f>
        <v>0.24</v>
      </c>
      <c r="K17" s="16">
        <f>0.03*((100/150)*C17)/100</f>
        <v>3.5999999999999997E-2</v>
      </c>
      <c r="L17" s="16">
        <f>46*((100/150)*C17)/100</f>
        <v>55.2</v>
      </c>
      <c r="M17" s="16">
        <f>96.71*((100/150)*C17)/100</f>
        <v>116.05199999999999</v>
      </c>
      <c r="N17" s="16">
        <f>31.49*((100/150)*C17)/100</f>
        <v>37.787999999999997</v>
      </c>
      <c r="O17" s="17">
        <f>0.4*((100/150)*C17)/100</f>
        <v>0.48</v>
      </c>
    </row>
    <row r="18" spans="1:15" x14ac:dyDescent="0.3">
      <c r="A18" s="14">
        <v>433</v>
      </c>
      <c r="B18" s="40" t="s">
        <v>28</v>
      </c>
      <c r="C18" s="13">
        <v>200</v>
      </c>
      <c r="D18" s="21">
        <f>0.2*((100/200)*C18)/100</f>
        <v>0.2</v>
      </c>
      <c r="E18" s="21">
        <f>0.05*((100/200)*C18)/100</f>
        <v>0.05</v>
      </c>
      <c r="F18" s="21">
        <f>15.01*((100/200)*C18)/100</f>
        <v>15.01</v>
      </c>
      <c r="G18" s="21">
        <f>46*((100/200)*C18)/100</f>
        <v>46</v>
      </c>
      <c r="H18" s="21">
        <f>0*((100/200)*C18)/100</f>
        <v>0</v>
      </c>
      <c r="I18" s="21">
        <f>0.1*((100/200)*C18)/100</f>
        <v>0.1</v>
      </c>
      <c r="J18" s="21">
        <f>0*((100/200)*C18)/100</f>
        <v>0</v>
      </c>
      <c r="K18" s="21">
        <f>0*((100/200)*C18)/100</f>
        <v>0</v>
      </c>
      <c r="L18" s="21">
        <f>5.25*((100/200)*C18)/100</f>
        <v>5.25</v>
      </c>
      <c r="M18" s="21">
        <f>8.24*((100/200)*C18)/100</f>
        <v>8.24</v>
      </c>
      <c r="N18" s="21">
        <f>4.4*((100/200)*C18)/100</f>
        <v>4.4000000000000004</v>
      </c>
      <c r="O18" s="22">
        <f>0.86*((100/200)*C18)/100</f>
        <v>0.86</v>
      </c>
    </row>
    <row r="19" spans="1:15" x14ac:dyDescent="0.3">
      <c r="A19" s="15"/>
      <c r="B19" s="39" t="s">
        <v>29</v>
      </c>
      <c r="C19" s="13">
        <v>40</v>
      </c>
      <c r="D19" s="21">
        <f>7.15*((100/50)*C19)/100</f>
        <v>5.72</v>
      </c>
      <c r="E19" s="21">
        <f>4.075*((100/50)*C19)/100</f>
        <v>3.26</v>
      </c>
      <c r="F19" s="21">
        <f>18.2*((100/50)*C19)/100</f>
        <v>14.56</v>
      </c>
      <c r="G19" s="21">
        <f>84.45*((100/50)*C19)/100</f>
        <v>67.56</v>
      </c>
      <c r="H19" s="21">
        <f>0.03*((100/50)*C19)/100</f>
        <v>2.4E-2</v>
      </c>
      <c r="I19" s="21">
        <f>3.56*((100/50)*C19)/100</f>
        <v>2.8480000000000003</v>
      </c>
      <c r="J19" s="21">
        <f>1.52*((100/50)*C19)/100</f>
        <v>1.216</v>
      </c>
      <c r="K19" s="21">
        <f>0*((100/50)*C19)/100</f>
        <v>0</v>
      </c>
      <c r="L19" s="21">
        <f>9.8*((100/50)*C19)/100</f>
        <v>7.84</v>
      </c>
      <c r="M19" s="21">
        <f>35.6*((100/50)*C19)/100</f>
        <v>28.48</v>
      </c>
      <c r="N19" s="21">
        <f>3.9*((100/50)*C19)/100</f>
        <v>3.12</v>
      </c>
      <c r="O19" s="22">
        <f>0.16*((100/50)*C19)/100</f>
        <v>0.128</v>
      </c>
    </row>
    <row r="20" spans="1:15" x14ac:dyDescent="0.3">
      <c r="A20" s="15"/>
      <c r="B20" s="40" t="s">
        <v>30</v>
      </c>
      <c r="C20" s="13">
        <v>50</v>
      </c>
      <c r="D20" s="21">
        <f>1.432*((100/40)*C20)/100</f>
        <v>1.79</v>
      </c>
      <c r="E20" s="21">
        <f>0.336*((100/40)*C20)/100</f>
        <v>0.42</v>
      </c>
      <c r="F20" s="21">
        <f>16.92*((100/40)*C20)/100</f>
        <v>21.15</v>
      </c>
      <c r="G20" s="37">
        <f>77.04*((100/40)*C20)/100</f>
        <v>96.3</v>
      </c>
      <c r="H20" s="37">
        <f>0.06*((100/40)*C20)/100</f>
        <v>7.4999999999999997E-2</v>
      </c>
      <c r="I20" s="36">
        <f>0*((100/40)*C20)/100</f>
        <v>0</v>
      </c>
      <c r="J20" s="37">
        <f>1.52*((100/40)*C20)/100</f>
        <v>1.9</v>
      </c>
      <c r="K20" s="36">
        <f>0*((100/40)*C20)/100</f>
        <v>0</v>
      </c>
      <c r="L20" s="21">
        <f>14.4*((100/40)*C20)/100</f>
        <v>18</v>
      </c>
      <c r="M20" s="21">
        <f>0.872*((100/40)*C20)/100</f>
        <v>1.0900000000000001</v>
      </c>
      <c r="N20" s="21">
        <f>8.92*((100/40)*C20)/100</f>
        <v>11.15</v>
      </c>
      <c r="O20" s="22">
        <f>0.36*((100/40)*C20)/100</f>
        <v>0.45</v>
      </c>
    </row>
    <row r="21" spans="1:15" ht="15" thickBot="1" x14ac:dyDescent="0.35">
      <c r="A21" s="6" t="s">
        <v>2</v>
      </c>
      <c r="B21" s="35"/>
      <c r="C21" s="7"/>
      <c r="D21" s="18">
        <f t="shared" ref="D21:O21" si="1">SUM(D14:D20)</f>
        <v>29.696666666666665</v>
      </c>
      <c r="E21" s="18">
        <f t="shared" si="1"/>
        <v>29.140000000000008</v>
      </c>
      <c r="F21" s="18">
        <f t="shared" si="1"/>
        <v>105.428</v>
      </c>
      <c r="G21" s="18">
        <f t="shared" si="1"/>
        <v>753.46</v>
      </c>
      <c r="H21" s="18">
        <f t="shared" si="1"/>
        <v>0.63900000000000001</v>
      </c>
      <c r="I21" s="18">
        <f t="shared" si="1"/>
        <v>24.271333333333335</v>
      </c>
      <c r="J21" s="18">
        <f t="shared" si="1"/>
        <v>4.556</v>
      </c>
      <c r="K21" s="18">
        <f t="shared" si="1"/>
        <v>0.13266666666666668</v>
      </c>
      <c r="L21" s="18">
        <f t="shared" si="1"/>
        <v>231.73</v>
      </c>
      <c r="M21" s="18">
        <f t="shared" si="1"/>
        <v>507.14533333333333</v>
      </c>
      <c r="N21" s="18">
        <f t="shared" si="1"/>
        <v>139.82466666666667</v>
      </c>
      <c r="O21" s="19">
        <f t="shared" si="1"/>
        <v>4.8880000000000008</v>
      </c>
    </row>
    <row r="23" spans="1:15" ht="15" thickBot="1" x14ac:dyDescent="0.35"/>
    <row r="24" spans="1:15" ht="15" thickBot="1" x14ac:dyDescent="0.35">
      <c r="A24" s="41" t="s">
        <v>80</v>
      </c>
      <c r="B24" s="42"/>
      <c r="C24" s="42"/>
      <c r="D24" s="43">
        <f t="shared" ref="D24:O24" si="2">D9+D21</f>
        <v>45.44</v>
      </c>
      <c r="E24" s="43">
        <f t="shared" si="2"/>
        <v>46.631666666666675</v>
      </c>
      <c r="F24" s="43">
        <f t="shared" si="2"/>
        <v>188.77133333333333</v>
      </c>
      <c r="G24" s="43">
        <f t="shared" si="2"/>
        <v>1247.9099999999999</v>
      </c>
      <c r="H24" s="43">
        <f t="shared" si="2"/>
        <v>1.7773333333333332</v>
      </c>
      <c r="I24" s="43">
        <f t="shared" si="2"/>
        <v>32.831333333333333</v>
      </c>
      <c r="J24" s="43">
        <f t="shared" si="2"/>
        <v>6.4260000000000002</v>
      </c>
      <c r="K24" s="43">
        <f t="shared" si="2"/>
        <v>0.22933333333333333</v>
      </c>
      <c r="L24" s="43">
        <f t="shared" si="2"/>
        <v>737.37</v>
      </c>
      <c r="M24" s="43">
        <f t="shared" si="2"/>
        <v>967.19366666666667</v>
      </c>
      <c r="N24" s="43">
        <f t="shared" si="2"/>
        <v>195.233</v>
      </c>
      <c r="O24" s="44">
        <f t="shared" si="2"/>
        <v>7.3271666666666668</v>
      </c>
    </row>
  </sheetData>
  <mergeCells count="9">
    <mergeCell ref="D12:F12"/>
    <mergeCell ref="H12:K12"/>
    <mergeCell ref="L12:O12"/>
    <mergeCell ref="A1:O1"/>
    <mergeCell ref="A2:O2"/>
    <mergeCell ref="D3:F3"/>
    <mergeCell ref="H3:K3"/>
    <mergeCell ref="L3:O3"/>
    <mergeCell ref="A11:O11"/>
  </mergeCells>
  <pageMargins left="0.51181102362204722" right="0.11811023622047245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Q14" sqref="Q14"/>
    </sheetView>
  </sheetViews>
  <sheetFormatPr defaultRowHeight="14.4" x14ac:dyDescent="0.3"/>
  <cols>
    <col min="1" max="1" width="9.88671875" customWidth="1"/>
    <col min="2" max="2" width="20.88671875" bestFit="1" customWidth="1"/>
  </cols>
  <sheetData>
    <row r="1" spans="1:15" x14ac:dyDescent="0.3">
      <c r="A1" s="54" t="s">
        <v>113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" thickBot="1" x14ac:dyDescent="0.35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58.2" thickBot="1" x14ac:dyDescent="0.35">
      <c r="A3" s="10" t="s">
        <v>0</v>
      </c>
      <c r="B3" s="11" t="s">
        <v>3</v>
      </c>
      <c r="C3" s="12" t="s">
        <v>4</v>
      </c>
      <c r="D3" s="62" t="s">
        <v>5</v>
      </c>
      <c r="E3" s="63"/>
      <c r="F3" s="64"/>
      <c r="G3" s="12" t="s">
        <v>6</v>
      </c>
      <c r="H3" s="62" t="s">
        <v>7</v>
      </c>
      <c r="I3" s="63"/>
      <c r="J3" s="63"/>
      <c r="K3" s="64"/>
      <c r="L3" s="65" t="s">
        <v>8</v>
      </c>
      <c r="M3" s="66"/>
      <c r="N3" s="66"/>
      <c r="O3" s="67"/>
    </row>
    <row r="4" spans="1:15" x14ac:dyDescent="0.3">
      <c r="A4" s="4" t="s">
        <v>1</v>
      </c>
      <c r="B4" s="32"/>
      <c r="C4" s="33"/>
      <c r="D4" s="33" t="s">
        <v>9</v>
      </c>
      <c r="E4" s="33" t="s">
        <v>10</v>
      </c>
      <c r="F4" s="33" t="s">
        <v>11</v>
      </c>
      <c r="G4" s="33"/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1" t="s">
        <v>19</v>
      </c>
    </row>
    <row r="5" spans="1:15" ht="43.2" x14ac:dyDescent="0.3">
      <c r="A5" s="8">
        <v>61</v>
      </c>
      <c r="B5" s="51" t="s">
        <v>56</v>
      </c>
      <c r="C5" s="9">
        <v>100</v>
      </c>
      <c r="D5" s="25">
        <f>0.65*((100/60)*C5)/100</f>
        <v>1.0833333333333335</v>
      </c>
      <c r="E5" s="25">
        <f>5.08*((100/60)*C5)/100</f>
        <v>8.4666666666666668</v>
      </c>
      <c r="F5" s="25">
        <f>2.76*((100/60)*C5)/100</f>
        <v>4.5999999999999996</v>
      </c>
      <c r="G5" s="25">
        <f>60*((100/60)*C5)/100</f>
        <v>100.00000000000001</v>
      </c>
      <c r="H5" s="25">
        <f>0.03*((100/60)*C5)/100</f>
        <v>0.05</v>
      </c>
      <c r="I5" s="25">
        <f>12.2*((100/60)*C5)/100</f>
        <v>20.333333333333336</v>
      </c>
      <c r="J5" s="25">
        <f>0.02*((100/60)*C5)/100</f>
        <v>3.333333333333334E-2</v>
      </c>
      <c r="K5" s="25">
        <f>0*((100/60)*C5)/100</f>
        <v>0</v>
      </c>
      <c r="L5" s="25">
        <f>12.08*((100/60)*C5)/100</f>
        <v>20.133333333333336</v>
      </c>
      <c r="M5" s="25">
        <f>18.4*((100/60)*C5)/100</f>
        <v>30.666666666666671</v>
      </c>
      <c r="N5" s="25">
        <f>10.61*((100/60)*C5)/100</f>
        <v>17.683333333333334</v>
      </c>
      <c r="O5" s="26">
        <f>0.5*((100/60)*C5)/100</f>
        <v>0.83333333333333348</v>
      </c>
    </row>
    <row r="6" spans="1:15" x14ac:dyDescent="0.3">
      <c r="A6" s="5">
        <v>266</v>
      </c>
      <c r="B6" s="38" t="s">
        <v>55</v>
      </c>
      <c r="C6" s="34">
        <v>200</v>
      </c>
      <c r="D6" s="16">
        <f>2.46*((100/100)*C6)/100</f>
        <v>4.92</v>
      </c>
      <c r="E6" s="16">
        <f>8.25*((100/100)*C6)/100</f>
        <v>16.5</v>
      </c>
      <c r="F6" s="16">
        <f>27.49*((100/100)*C6)/100</f>
        <v>54.98</v>
      </c>
      <c r="G6" s="16">
        <f>195*((100/100)*C6)/100</f>
        <v>390</v>
      </c>
      <c r="H6" s="16">
        <f>0.05*((100/100)*C6)/100</f>
        <v>0.1</v>
      </c>
      <c r="I6" s="16">
        <f>2.17*((100/100)*C6)/100</f>
        <v>4.34</v>
      </c>
      <c r="J6" s="16">
        <f>0.04*((100/100)*C6)/100</f>
        <v>0.08</v>
      </c>
      <c r="K6" s="16">
        <f>0.05*((100/100)*C6)/100</f>
        <v>0.1</v>
      </c>
      <c r="L6" s="16">
        <f>28.9*((100/100)*C6)/100</f>
        <v>57.8</v>
      </c>
      <c r="M6" s="16">
        <f>71.22*((100/100)*C6)/100</f>
        <v>142.44</v>
      </c>
      <c r="N6" s="16">
        <f>26.79*((100/100)*C6)/100</f>
        <v>53.58</v>
      </c>
      <c r="O6" s="17">
        <f>0.83*((100/100)*C6)/100</f>
        <v>1.66</v>
      </c>
    </row>
    <row r="7" spans="1:15" x14ac:dyDescent="0.3">
      <c r="A7" s="5">
        <v>431</v>
      </c>
      <c r="B7" s="38" t="s">
        <v>33</v>
      </c>
      <c r="C7" s="23">
        <v>200</v>
      </c>
      <c r="D7" s="16">
        <f>1.54*((100/200)*C7)/100</f>
        <v>1.54</v>
      </c>
      <c r="E7" s="16">
        <f>1.63*((100/200)*C7)/100</f>
        <v>1.63</v>
      </c>
      <c r="F7" s="16">
        <f>9.36*((100/200)*C7)/100</f>
        <v>9.36</v>
      </c>
      <c r="G7" s="16">
        <f>56*((100/200)*C7)/100</f>
        <v>56</v>
      </c>
      <c r="H7" s="16">
        <f>0.02*((100/200)*C7)/100</f>
        <v>0.02</v>
      </c>
      <c r="I7" s="16">
        <f>0.72*((100/200)*C7)/100</f>
        <v>0.72</v>
      </c>
      <c r="J7" s="16">
        <f>0.02*((100/200)*C7)/100</f>
        <v>0.02</v>
      </c>
      <c r="K7" s="16">
        <f>0.01*((100/200)*C7)/100</f>
        <v>0.01</v>
      </c>
      <c r="L7" s="16">
        <f>63.6*((100/200)*C7)/100</f>
        <v>63.6</v>
      </c>
      <c r="M7" s="16">
        <f>50.76*((100/200)*C7)/100</f>
        <v>50.76</v>
      </c>
      <c r="N7" s="16">
        <f>10.08*((100/200)*C7)/100</f>
        <v>10.08</v>
      </c>
      <c r="O7" s="17">
        <f>0.62*((100/200)*C7)/100</f>
        <v>0.62</v>
      </c>
    </row>
    <row r="8" spans="1:15" x14ac:dyDescent="0.3">
      <c r="A8" s="5"/>
      <c r="B8" s="30" t="s">
        <v>29</v>
      </c>
      <c r="C8" s="23">
        <v>50</v>
      </c>
      <c r="D8" s="16">
        <f>5.72*((100/40)*C8)/100</f>
        <v>7.15</v>
      </c>
      <c r="E8" s="16">
        <f>3.26*((100/40)*C8)/100</f>
        <v>4.0750000000000002</v>
      </c>
      <c r="F8" s="16">
        <f>14.56*((100/40)*C8)/100</f>
        <v>18.2</v>
      </c>
      <c r="G8" s="16">
        <f>67.56*((100/40)*C8)/100</f>
        <v>84.45</v>
      </c>
      <c r="H8" s="16">
        <f>0.028*((100/40)*C8)/100</f>
        <v>3.5000000000000003E-2</v>
      </c>
      <c r="I8" s="16">
        <f>2.248*((100/40)*C8)/100</f>
        <v>2.81</v>
      </c>
      <c r="J8" s="16">
        <f>1.12*((100/40)*C8)/100</f>
        <v>1.4</v>
      </c>
      <c r="K8" s="16">
        <f>0*((100/40)*C8)/100</f>
        <v>0</v>
      </c>
      <c r="L8" s="16">
        <f>7.84*((100/40)*C8)/100</f>
        <v>9.8000000000000007</v>
      </c>
      <c r="M8" s="16">
        <f>7.676*((100/40)*C8)/100</f>
        <v>9.5950000000000006</v>
      </c>
      <c r="N8" s="16">
        <f>3.692*((100/40)*C8)/100</f>
        <v>4.6150000000000002</v>
      </c>
      <c r="O8" s="17">
        <f>0.81*((100/40)*C8)/100</f>
        <v>1.0125</v>
      </c>
    </row>
    <row r="9" spans="1:15" ht="15" thickBot="1" x14ac:dyDescent="0.35">
      <c r="A9" s="6" t="s">
        <v>2</v>
      </c>
      <c r="B9" s="35"/>
      <c r="C9" s="7"/>
      <c r="D9" s="18">
        <f t="shared" ref="D9:O9" si="0">SUM(D5:D8)</f>
        <v>14.693333333333335</v>
      </c>
      <c r="E9" s="18">
        <f t="shared" si="0"/>
        <v>30.671666666666667</v>
      </c>
      <c r="F9" s="18">
        <f t="shared" si="0"/>
        <v>87.14</v>
      </c>
      <c r="G9" s="18">
        <f t="shared" si="0"/>
        <v>630.45000000000005</v>
      </c>
      <c r="H9" s="18">
        <f t="shared" si="0"/>
        <v>0.20500000000000002</v>
      </c>
      <c r="I9" s="18">
        <f t="shared" si="0"/>
        <v>28.203333333333333</v>
      </c>
      <c r="J9" s="18">
        <f t="shared" si="0"/>
        <v>1.5333333333333332</v>
      </c>
      <c r="K9" s="18">
        <f t="shared" si="0"/>
        <v>0.11</v>
      </c>
      <c r="L9" s="18">
        <f t="shared" si="0"/>
        <v>151.33333333333334</v>
      </c>
      <c r="M9" s="18">
        <f t="shared" si="0"/>
        <v>233.46166666666667</v>
      </c>
      <c r="N9" s="18">
        <f t="shared" si="0"/>
        <v>85.958333333333329</v>
      </c>
      <c r="O9" s="19">
        <f t="shared" si="0"/>
        <v>4.1258333333333335</v>
      </c>
    </row>
    <row r="11" spans="1:15" ht="15" thickBot="1" x14ac:dyDescent="0.35">
      <c r="A11" s="68" t="s">
        <v>23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ht="58.2" thickBot="1" x14ac:dyDescent="0.35">
      <c r="A12" s="10" t="s">
        <v>0</v>
      </c>
      <c r="B12" s="11" t="s">
        <v>3</v>
      </c>
      <c r="C12" s="12" t="s">
        <v>4</v>
      </c>
      <c r="D12" s="62" t="s">
        <v>5</v>
      </c>
      <c r="E12" s="63"/>
      <c r="F12" s="64"/>
      <c r="G12" s="12" t="s">
        <v>6</v>
      </c>
      <c r="H12" s="62" t="s">
        <v>7</v>
      </c>
      <c r="I12" s="63"/>
      <c r="J12" s="63"/>
      <c r="K12" s="64"/>
      <c r="L12" s="65" t="s">
        <v>8</v>
      </c>
      <c r="M12" s="66"/>
      <c r="N12" s="66"/>
      <c r="O12" s="67"/>
    </row>
    <row r="13" spans="1:15" x14ac:dyDescent="0.3">
      <c r="A13" s="4" t="s">
        <v>1</v>
      </c>
      <c r="B13" s="32"/>
      <c r="C13" s="33"/>
      <c r="D13" s="33" t="s">
        <v>9</v>
      </c>
      <c r="E13" s="33" t="s">
        <v>10</v>
      </c>
      <c r="F13" s="33" t="s">
        <v>11</v>
      </c>
      <c r="G13" s="33"/>
      <c r="H13" s="33" t="s">
        <v>12</v>
      </c>
      <c r="I13" s="33" t="s">
        <v>13</v>
      </c>
      <c r="J13" s="33" t="s">
        <v>14</v>
      </c>
      <c r="K13" s="33" t="s">
        <v>15</v>
      </c>
      <c r="L13" s="33" t="s">
        <v>16</v>
      </c>
      <c r="M13" s="33" t="s">
        <v>17</v>
      </c>
      <c r="N13" s="33" t="s">
        <v>18</v>
      </c>
      <c r="O13" s="31" t="s">
        <v>19</v>
      </c>
    </row>
    <row r="14" spans="1:15" ht="43.2" x14ac:dyDescent="0.3">
      <c r="A14" s="5">
        <v>44</v>
      </c>
      <c r="B14" s="38" t="s">
        <v>94</v>
      </c>
      <c r="C14" s="34">
        <v>100</v>
      </c>
      <c r="D14" s="16">
        <f>1.02*((100/60)*C14)/100</f>
        <v>1.7000000000000002</v>
      </c>
      <c r="E14" s="16">
        <f>3.06*((100/60)*C14)/100</f>
        <v>5.1000000000000005</v>
      </c>
      <c r="F14" s="16">
        <f>5.74*((100/60)*C14)/100</f>
        <v>9.5666666666666682</v>
      </c>
      <c r="G14" s="16">
        <f>55*((100/60)*C14)/100</f>
        <v>91.666666666666686</v>
      </c>
      <c r="H14" s="16">
        <f>0.03*((100/60)*C14)/100</f>
        <v>0.05</v>
      </c>
      <c r="I14" s="16">
        <f>5.73*((100/60)*C14)/100</f>
        <v>9.5500000000000025</v>
      </c>
      <c r="J14" s="16">
        <f>0.04*((100/60)*C14)/100</f>
        <v>6.666666666666668E-2</v>
      </c>
      <c r="K14" s="16">
        <f>0*((100/60)*C14)/100</f>
        <v>0</v>
      </c>
      <c r="L14" s="16">
        <f>26.7*((100/60)*C14)/100</f>
        <v>44.5</v>
      </c>
      <c r="M14" s="16">
        <f>64.85*((100/60)*C14)/100</f>
        <v>108.08333333333334</v>
      </c>
      <c r="N14" s="16">
        <f>0.82*((100/60)*C14)/100</f>
        <v>1.3666666666666669</v>
      </c>
      <c r="O14" s="17">
        <f>17.08*((100/60)*C14)/100</f>
        <v>28.466666666666665</v>
      </c>
    </row>
    <row r="15" spans="1:15" x14ac:dyDescent="0.3">
      <c r="A15" s="8">
        <v>115</v>
      </c>
      <c r="B15" s="51" t="s">
        <v>59</v>
      </c>
      <c r="C15" s="9">
        <v>250</v>
      </c>
      <c r="D15" s="25">
        <f>2.02*((100/250)*C15)/100</f>
        <v>2.02</v>
      </c>
      <c r="E15" s="25">
        <f>5.37*((100/250)*C15)/100</f>
        <v>5.37</v>
      </c>
      <c r="F15" s="25">
        <f>11.4*((100/250)*C15)/100</f>
        <v>11.4</v>
      </c>
      <c r="G15" s="25">
        <f>104*((100/250)*C15)/100</f>
        <v>104</v>
      </c>
      <c r="H15" s="25">
        <f>0.08*((100/250)*C15)/100</f>
        <v>0.08</v>
      </c>
      <c r="I15" s="25">
        <f>21.26*((100/250)*C15)/100</f>
        <v>21.26</v>
      </c>
      <c r="J15" s="25">
        <f>0.06*((100/250)*C15)/100</f>
        <v>0.06</v>
      </c>
      <c r="K15" s="25">
        <f>0.03*((100/250)*C15)/100</f>
        <v>0.03</v>
      </c>
      <c r="L15" s="25">
        <f>30.12*((100/250)*C15)/100</f>
        <v>30.12</v>
      </c>
      <c r="M15" s="25">
        <f>55.1*((100/250)*C15)/100</f>
        <v>55.1</v>
      </c>
      <c r="N15" s="25">
        <f>21.95*((100/250)*C15)/100</f>
        <v>21.95</v>
      </c>
      <c r="O15" s="26">
        <f>0.8*((100/250)*C15)/100</f>
        <v>0.8</v>
      </c>
    </row>
    <row r="16" spans="1:15" x14ac:dyDescent="0.3">
      <c r="A16" s="5">
        <v>447</v>
      </c>
      <c r="B16" s="30" t="s">
        <v>27</v>
      </c>
      <c r="C16" s="34">
        <v>180</v>
      </c>
      <c r="D16" s="16">
        <f>5.48*((100/150)*C16)/100</f>
        <v>6.5760000000000005</v>
      </c>
      <c r="E16" s="16">
        <f>4.98*((100/150)*C16)/100</f>
        <v>5.976</v>
      </c>
      <c r="F16" s="16">
        <f>44.88*((100/150)*C16)/100</f>
        <v>53.856000000000002</v>
      </c>
      <c r="G16" s="16">
        <f>211.5*((100/150)*C16)/100</f>
        <v>253.8</v>
      </c>
      <c r="H16" s="16">
        <f>0.11*((100/150)*C16)/100</f>
        <v>0.13200000000000001</v>
      </c>
      <c r="I16" s="16">
        <f>0*((100/150)*C16)/100</f>
        <v>0</v>
      </c>
      <c r="J16" s="16">
        <f>1.2*((100/150)*C16)/100</f>
        <v>1.44</v>
      </c>
      <c r="K16" s="16">
        <f>0.03*((100/150)*C16)/100</f>
        <v>3.5999999999999997E-2</v>
      </c>
      <c r="L16" s="16">
        <f>54.95*((100/150)*C16)/100</f>
        <v>65.94</v>
      </c>
      <c r="M16" s="16">
        <f>90.06*((100/150)*C16)/100</f>
        <v>108.072</v>
      </c>
      <c r="N16" s="16">
        <f>24.59*((100/150)*C16)/100</f>
        <v>29.508000000000003</v>
      </c>
      <c r="O16" s="17">
        <f>0.99*((100/150)*C16)/100</f>
        <v>1.1879999999999999</v>
      </c>
    </row>
    <row r="17" spans="1:15" ht="28.8" x14ac:dyDescent="0.3">
      <c r="A17" s="5">
        <v>205</v>
      </c>
      <c r="B17" s="38" t="s">
        <v>100</v>
      </c>
      <c r="C17" s="34">
        <v>100</v>
      </c>
      <c r="D17" s="16">
        <f>12.5*((100/50)*C17)/100</f>
        <v>25</v>
      </c>
      <c r="E17" s="16">
        <f>7.16*((100/50)*C17)/100</f>
        <v>14.32</v>
      </c>
      <c r="F17" s="16">
        <f>8.21*((100/50)*C17)/100</f>
        <v>16.420000000000002</v>
      </c>
      <c r="G17" s="16">
        <f>236.8*((100/100)*C17)/100</f>
        <v>236.8</v>
      </c>
      <c r="H17" s="16">
        <f>0.08*((100/50)*C17)/100</f>
        <v>0.16</v>
      </c>
      <c r="I17" s="16">
        <f>0*((100/50)*C17)/100</f>
        <v>0</v>
      </c>
      <c r="J17" s="16">
        <f>0.11*((100/50)*C17)/100</f>
        <v>0.22</v>
      </c>
      <c r="K17" s="16">
        <f>0.04*((100/50)*C17)/100</f>
        <v>0.08</v>
      </c>
      <c r="L17" s="16">
        <f>17.23*((100/50)*C17)/100</f>
        <v>34.46</v>
      </c>
      <c r="M17" s="16">
        <f>124.82*((100/50)*C17)/100</f>
        <v>249.64</v>
      </c>
      <c r="N17" s="16">
        <f>18.66*((100/50)*C17)/100</f>
        <v>37.32</v>
      </c>
      <c r="O17" s="17">
        <f>1.27*((100/50)*C17)/100</f>
        <v>2.54</v>
      </c>
    </row>
    <row r="18" spans="1:15" x14ac:dyDescent="0.3">
      <c r="A18" s="14">
        <v>411</v>
      </c>
      <c r="B18" s="40" t="s">
        <v>101</v>
      </c>
      <c r="C18" s="13">
        <v>200</v>
      </c>
      <c r="D18" s="21">
        <f>5.6*((100/200)*C18)/100</f>
        <v>5.6</v>
      </c>
      <c r="E18" s="21">
        <f>6.4*((100/200)*C18)/100</f>
        <v>6.4</v>
      </c>
      <c r="F18" s="21">
        <f>15.18*((100/200)*C18)/100</f>
        <v>15.18</v>
      </c>
      <c r="G18" s="21">
        <f>145*((100/200)*C18)/100</f>
        <v>145</v>
      </c>
      <c r="H18" s="16">
        <f>0*((100/200)*C18)/100</f>
        <v>0</v>
      </c>
      <c r="I18" s="16">
        <f>18.1*((100/200)*C18)/100</f>
        <v>18.100000000000001</v>
      </c>
      <c r="J18" s="16">
        <f>0*((100/200)*C18)/100</f>
        <v>0</v>
      </c>
      <c r="K18" s="16">
        <f>0*((100/200)*C18)/100</f>
        <v>0</v>
      </c>
      <c r="L18" s="16">
        <f>5.25*((100/200)*C18)/100</f>
        <v>5.25</v>
      </c>
      <c r="M18" s="16">
        <f>8.24*((100/200)*C18)/100</f>
        <v>8.24</v>
      </c>
      <c r="N18" s="16">
        <f>4.4*((100/200)*C18)/100</f>
        <v>4.4000000000000004</v>
      </c>
      <c r="O18" s="17">
        <f>0.26*((100/200)*C18)/100</f>
        <v>0.26</v>
      </c>
    </row>
    <row r="19" spans="1:15" x14ac:dyDescent="0.3">
      <c r="A19" s="15"/>
      <c r="B19" s="39" t="s">
        <v>29</v>
      </c>
      <c r="C19" s="13">
        <v>40</v>
      </c>
      <c r="D19" s="21">
        <f>7.15*((100/50)*C19)/100</f>
        <v>5.72</v>
      </c>
      <c r="E19" s="21">
        <f>4.075*((100/50)*C19)/100</f>
        <v>3.26</v>
      </c>
      <c r="F19" s="21">
        <f>18.2*((100/50)*C19)/100</f>
        <v>14.56</v>
      </c>
      <c r="G19" s="21">
        <f>84.45*((100/50)*C19)/100</f>
        <v>67.56</v>
      </c>
      <c r="H19" s="21">
        <f>0.03*((100/50)*C19)/100</f>
        <v>2.4E-2</v>
      </c>
      <c r="I19" s="21">
        <f>3.56*((100/50)*C19)/100</f>
        <v>2.8480000000000003</v>
      </c>
      <c r="J19" s="21">
        <f>1.52*((100/50)*C19)/100</f>
        <v>1.216</v>
      </c>
      <c r="K19" s="21">
        <f>0*((100/50)*C19)/100</f>
        <v>0</v>
      </c>
      <c r="L19" s="21">
        <f>9.8*((100/50)*C19)/100</f>
        <v>7.84</v>
      </c>
      <c r="M19" s="21">
        <f>35.6*((100/50)*C19)/100</f>
        <v>28.48</v>
      </c>
      <c r="N19" s="21">
        <f>3.9*((100/50)*C19)/100</f>
        <v>3.12</v>
      </c>
      <c r="O19" s="22">
        <f>0.16*((100/50)*C19)/100</f>
        <v>0.128</v>
      </c>
    </row>
    <row r="20" spans="1:15" x14ac:dyDescent="0.3">
      <c r="A20" s="15"/>
      <c r="B20" s="40" t="s">
        <v>30</v>
      </c>
      <c r="C20" s="13">
        <v>50</v>
      </c>
      <c r="D20" s="21">
        <f>1.432*((100/40)*C20)/100</f>
        <v>1.79</v>
      </c>
      <c r="E20" s="21">
        <f>0.336*((100/40)*C20)/100</f>
        <v>0.42</v>
      </c>
      <c r="F20" s="21">
        <f>16.92*((100/40)*C20)/100</f>
        <v>21.15</v>
      </c>
      <c r="G20" s="37">
        <f>77.04*((100/40)*C20)/100</f>
        <v>96.3</v>
      </c>
      <c r="H20" s="37">
        <f>0.06*((100/40)*C20)/100</f>
        <v>7.4999999999999997E-2</v>
      </c>
      <c r="I20" s="36">
        <f>0*((100/40)*C20)/100</f>
        <v>0</v>
      </c>
      <c r="J20" s="37">
        <f>1.52*((100/40)*C20)/100</f>
        <v>1.9</v>
      </c>
      <c r="K20" s="36">
        <f>0*((100/40)*C20)/100</f>
        <v>0</v>
      </c>
      <c r="L20" s="21">
        <f>14.4*((100/40)*C20)/100</f>
        <v>18</v>
      </c>
      <c r="M20" s="21">
        <f>0.872*((100/40)*C20)/100</f>
        <v>1.0900000000000001</v>
      </c>
      <c r="N20" s="21">
        <f>8.92*((100/40)*C20)/100</f>
        <v>11.15</v>
      </c>
      <c r="O20" s="22">
        <f>0.36*((100/40)*C20)/100</f>
        <v>0.45</v>
      </c>
    </row>
    <row r="21" spans="1:15" ht="15" thickBot="1" x14ac:dyDescent="0.35">
      <c r="A21" s="6" t="s">
        <v>2</v>
      </c>
      <c r="B21" s="35"/>
      <c r="C21" s="7"/>
      <c r="D21" s="18">
        <f t="shared" ref="D21:O21" si="1">SUM(D14:D20)</f>
        <v>48.405999999999999</v>
      </c>
      <c r="E21" s="18">
        <f t="shared" si="1"/>
        <v>40.846000000000004</v>
      </c>
      <c r="F21" s="18">
        <f t="shared" si="1"/>
        <v>142.13266666666667</v>
      </c>
      <c r="G21" s="18">
        <f t="shared" si="1"/>
        <v>995.12666666666655</v>
      </c>
      <c r="H21" s="18">
        <f t="shared" si="1"/>
        <v>0.52100000000000002</v>
      </c>
      <c r="I21" s="18">
        <f t="shared" si="1"/>
        <v>51.758000000000003</v>
      </c>
      <c r="J21" s="18">
        <f t="shared" si="1"/>
        <v>4.9026666666666667</v>
      </c>
      <c r="K21" s="18">
        <f t="shared" si="1"/>
        <v>0.14600000000000002</v>
      </c>
      <c r="L21" s="18">
        <f t="shared" si="1"/>
        <v>206.11</v>
      </c>
      <c r="M21" s="18">
        <f t="shared" si="1"/>
        <v>558.70533333333344</v>
      </c>
      <c r="N21" s="18">
        <f t="shared" si="1"/>
        <v>108.81466666666668</v>
      </c>
      <c r="O21" s="19">
        <f t="shared" si="1"/>
        <v>33.832666666666668</v>
      </c>
    </row>
    <row r="23" spans="1:15" ht="15" thickBot="1" x14ac:dyDescent="0.35"/>
    <row r="24" spans="1:15" ht="15" thickBot="1" x14ac:dyDescent="0.35">
      <c r="A24" s="41" t="s">
        <v>80</v>
      </c>
      <c r="B24" s="42"/>
      <c r="C24" s="42"/>
      <c r="D24" s="43">
        <f t="shared" ref="D24:O24" si="2">D9+D21</f>
        <v>63.099333333333334</v>
      </c>
      <c r="E24" s="43">
        <f t="shared" si="2"/>
        <v>71.51766666666667</v>
      </c>
      <c r="F24" s="43">
        <f t="shared" si="2"/>
        <v>229.27266666666668</v>
      </c>
      <c r="G24" s="43">
        <f t="shared" si="2"/>
        <v>1625.5766666666666</v>
      </c>
      <c r="H24" s="43">
        <f t="shared" si="2"/>
        <v>0.72599999999999998</v>
      </c>
      <c r="I24" s="43">
        <f t="shared" si="2"/>
        <v>79.961333333333329</v>
      </c>
      <c r="J24" s="43">
        <f t="shared" si="2"/>
        <v>6.4359999999999999</v>
      </c>
      <c r="K24" s="43">
        <f t="shared" si="2"/>
        <v>0.25600000000000001</v>
      </c>
      <c r="L24" s="43">
        <f t="shared" si="2"/>
        <v>357.44333333333338</v>
      </c>
      <c r="M24" s="43">
        <f t="shared" si="2"/>
        <v>792.16700000000014</v>
      </c>
      <c r="N24" s="43">
        <f t="shared" si="2"/>
        <v>194.77300000000002</v>
      </c>
      <c r="O24" s="44">
        <f t="shared" si="2"/>
        <v>37.958500000000001</v>
      </c>
    </row>
  </sheetData>
  <mergeCells count="9">
    <mergeCell ref="D12:F12"/>
    <mergeCell ref="H12:K12"/>
    <mergeCell ref="L12:O12"/>
    <mergeCell ref="A1:O1"/>
    <mergeCell ref="A2:O2"/>
    <mergeCell ref="D3:F3"/>
    <mergeCell ref="H3:K3"/>
    <mergeCell ref="L3:O3"/>
    <mergeCell ref="A11:O11"/>
  </mergeCells>
  <pageMargins left="0.51181102362204722" right="0.11811023622047245" top="0.74803149606299213" bottom="0.74803149606299213" header="0.31496062992125984" footer="0.31496062992125984"/>
  <pageSetup paperSize="9" scale="8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kiField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WikiEditForm</Display>
  <Edit>WikiEditForm</Edit>
  <New>WikiEditForm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Вики-страница" ma:contentTypeID="0x010108001CC327A7072146458C4FE63C3E4872FF" ma:contentTypeVersion="1" ma:contentTypeDescription="Создание вики-страницы." ma:contentTypeScope="" ma:versionID="1ff931a50ac282d8e1433ffab98501ee">
  <xsd:schema xmlns:xsd="http://www.w3.org/2001/XMLSchema" xmlns:xs="http://www.w3.org/2001/XMLSchema" xmlns:p="http://schemas.microsoft.com/office/2006/metadata/properties" xmlns:ns1="http://schemas.microsoft.com/sharepoint/v3" xmlns:ns2="29b972f1-30d0-425f-bb32-1cf1ae29b20e" targetNamespace="http://schemas.microsoft.com/office/2006/metadata/properties" ma:root="true" ma:fieldsID="28df01c78f62233088d61caa769ba5a9" ns1:_="" ns2:_="">
    <xsd:import namespace="http://schemas.microsoft.com/sharepoint/v3"/>
    <xsd:import namespace="29b972f1-30d0-425f-bb32-1cf1ae29b20e"/>
    <xsd:element name="properties">
      <xsd:complexType>
        <xsd:sequence>
          <xsd:element name="documentManagement">
            <xsd:complexType>
              <xsd:all>
                <xsd:element ref="ns1:WikiFiel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WikiField" ma:index="7" nillable="true" ma:displayName="Вики-контент" ma:internalName="WikiField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972f1-30d0-425f-bb32-1cf1ae29b2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75229C-03AB-40BB-98E3-1B97B9E5C425}"/>
</file>

<file path=customXml/itemProps2.xml><?xml version="1.0" encoding="utf-8"?>
<ds:datastoreItem xmlns:ds="http://schemas.openxmlformats.org/officeDocument/2006/customXml" ds:itemID="{C8B6F413-BCF4-4619-AD1C-91975340448C}"/>
</file>

<file path=customXml/itemProps3.xml><?xml version="1.0" encoding="utf-8"?>
<ds:datastoreItem xmlns:ds="http://schemas.openxmlformats.org/officeDocument/2006/customXml" ds:itemID="{1461EC95-9227-481E-AF94-AC84B2BAD6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 9 День </vt:lpstr>
      <vt:lpstr>10 День</vt:lpstr>
      <vt:lpstr>стат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2020-04-09T13:12:08Z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0x010108001CC327A7072146458C4FE63C3E4872FF</vt:lpwstr>
  </property>
</Properties>
</file>