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5-11 класс" sheetId="1" r:id="rId1"/>
    <sheet name="1-4 класс" sheetId="4" r:id="rId2"/>
    <sheet name="Лист2" sheetId="2" r:id="rId3"/>
    <sheet name="Лист3" sheetId="3" r:id="rId4"/>
  </sheets>
  <calcPr calcId="125725"/>
</workbook>
</file>

<file path=xl/calcChain.xml><?xml version="1.0" encoding="utf-8"?>
<calcChain xmlns="http://schemas.openxmlformats.org/spreadsheetml/2006/main">
  <c r="N260" i="4"/>
  <c r="M260"/>
  <c r="L260"/>
  <c r="K260"/>
  <c r="H260"/>
  <c r="G260"/>
  <c r="F260"/>
  <c r="E260"/>
  <c r="D260"/>
  <c r="N255"/>
  <c r="M255"/>
  <c r="L255"/>
  <c r="K255"/>
  <c r="J255"/>
  <c r="I255"/>
  <c r="H255"/>
  <c r="G255"/>
  <c r="F255"/>
  <c r="E255"/>
  <c r="D255"/>
  <c r="N259"/>
  <c r="M259"/>
  <c r="L259"/>
  <c r="K259"/>
  <c r="I259"/>
  <c r="H259"/>
  <c r="G259"/>
  <c r="F259"/>
  <c r="E259"/>
  <c r="D259"/>
  <c r="C259"/>
  <c r="N248"/>
  <c r="M248"/>
  <c r="M249" s="1"/>
  <c r="L248"/>
  <c r="L249" s="1"/>
  <c r="K248"/>
  <c r="I248"/>
  <c r="H248"/>
  <c r="G248"/>
  <c r="F248"/>
  <c r="E248"/>
  <c r="N246"/>
  <c r="M246"/>
  <c r="L246"/>
  <c r="K246"/>
  <c r="I246"/>
  <c r="H246"/>
  <c r="G246"/>
  <c r="F246"/>
  <c r="E246"/>
  <c r="D246"/>
  <c r="N234"/>
  <c r="M234"/>
  <c r="L234"/>
  <c r="K234"/>
  <c r="H234"/>
  <c r="G234"/>
  <c r="F234"/>
  <c r="E234"/>
  <c r="D234"/>
  <c r="N233"/>
  <c r="M233"/>
  <c r="L233"/>
  <c r="K233"/>
  <c r="I233"/>
  <c r="H233"/>
  <c r="G233"/>
  <c r="F233"/>
  <c r="E233"/>
  <c r="D233"/>
  <c r="N229"/>
  <c r="N228"/>
  <c r="M229"/>
  <c r="M228"/>
  <c r="L229"/>
  <c r="L228"/>
  <c r="K229"/>
  <c r="K228"/>
  <c r="J229"/>
  <c r="I229"/>
  <c r="I228"/>
  <c r="H229"/>
  <c r="H228"/>
  <c r="G229"/>
  <c r="G228"/>
  <c r="F229"/>
  <c r="F228"/>
  <c r="E229"/>
  <c r="E228"/>
  <c r="D229"/>
  <c r="D228"/>
  <c r="N222"/>
  <c r="M222"/>
  <c r="L222"/>
  <c r="K222"/>
  <c r="I222"/>
  <c r="H222"/>
  <c r="G222"/>
  <c r="F222"/>
  <c r="E222"/>
  <c r="D222"/>
  <c r="C222"/>
  <c r="N221"/>
  <c r="M221"/>
  <c r="L221"/>
  <c r="K221"/>
  <c r="J221"/>
  <c r="I221"/>
  <c r="H221"/>
  <c r="G221"/>
  <c r="F221"/>
  <c r="E221"/>
  <c r="D221"/>
  <c r="N207"/>
  <c r="M207"/>
  <c r="L207"/>
  <c r="K207"/>
  <c r="H207"/>
  <c r="G207"/>
  <c r="F207"/>
  <c r="E207"/>
  <c r="D207"/>
  <c r="N206"/>
  <c r="M206"/>
  <c r="L206"/>
  <c r="K206"/>
  <c r="I206"/>
  <c r="H206"/>
  <c r="G206"/>
  <c r="F206"/>
  <c r="E206"/>
  <c r="D206"/>
  <c r="C206"/>
  <c r="N203"/>
  <c r="N202"/>
  <c r="M203"/>
  <c r="M202"/>
  <c r="L203"/>
  <c r="L208" s="1"/>
  <c r="L202"/>
  <c r="K203"/>
  <c r="K202"/>
  <c r="J203"/>
  <c r="I203"/>
  <c r="I202"/>
  <c r="H203"/>
  <c r="H202"/>
  <c r="G203"/>
  <c r="G202"/>
  <c r="F203"/>
  <c r="F202"/>
  <c r="E203"/>
  <c r="E202"/>
  <c r="D203"/>
  <c r="D202"/>
  <c r="N196"/>
  <c r="M196"/>
  <c r="M197" s="1"/>
  <c r="L196"/>
  <c r="K196"/>
  <c r="I196"/>
  <c r="H196"/>
  <c r="G196"/>
  <c r="F196"/>
  <c r="E196"/>
  <c r="D196"/>
  <c r="C196"/>
  <c r="N195"/>
  <c r="M195"/>
  <c r="L195"/>
  <c r="K195"/>
  <c r="I195"/>
  <c r="H195"/>
  <c r="G195"/>
  <c r="F195"/>
  <c r="E195"/>
  <c r="D195"/>
  <c r="N182"/>
  <c r="M182"/>
  <c r="L182"/>
  <c r="K182"/>
  <c r="H182"/>
  <c r="G182"/>
  <c r="F182"/>
  <c r="E182"/>
  <c r="D182"/>
  <c r="N181"/>
  <c r="M181"/>
  <c r="L181"/>
  <c r="K181"/>
  <c r="I181"/>
  <c r="H181"/>
  <c r="H183" s="1"/>
  <c r="G181"/>
  <c r="F181"/>
  <c r="E181"/>
  <c r="D181"/>
  <c r="C181"/>
  <c r="N177"/>
  <c r="N176"/>
  <c r="M177"/>
  <c r="M176"/>
  <c r="L177"/>
  <c r="L176"/>
  <c r="K177"/>
  <c r="K176"/>
  <c r="J177"/>
  <c r="J176"/>
  <c r="I177"/>
  <c r="I176"/>
  <c r="H177"/>
  <c r="H176"/>
  <c r="G177"/>
  <c r="G176"/>
  <c r="F177"/>
  <c r="F176"/>
  <c r="E177"/>
  <c r="E176"/>
  <c r="D177"/>
  <c r="D176"/>
  <c r="N170"/>
  <c r="M170"/>
  <c r="L170"/>
  <c r="K170"/>
  <c r="I170"/>
  <c r="H170"/>
  <c r="G170"/>
  <c r="F170"/>
  <c r="E170"/>
  <c r="D170"/>
  <c r="C170"/>
  <c r="N168"/>
  <c r="N171" s="1"/>
  <c r="M168"/>
  <c r="L168"/>
  <c r="K168"/>
  <c r="I168"/>
  <c r="H168"/>
  <c r="G168"/>
  <c r="F168"/>
  <c r="E168"/>
  <c r="D168"/>
  <c r="N156"/>
  <c r="M156"/>
  <c r="L156"/>
  <c r="K156"/>
  <c r="H156"/>
  <c r="G156"/>
  <c r="F156"/>
  <c r="E156"/>
  <c r="D156"/>
  <c r="N155"/>
  <c r="M155"/>
  <c r="L155"/>
  <c r="K155"/>
  <c r="I155"/>
  <c r="H155"/>
  <c r="G155"/>
  <c r="F155"/>
  <c r="E155"/>
  <c r="D155"/>
  <c r="C155"/>
  <c r="N151"/>
  <c r="N150"/>
  <c r="N157" s="1"/>
  <c r="M151"/>
  <c r="M150"/>
  <c r="L151"/>
  <c r="L150"/>
  <c r="K151"/>
  <c r="K150"/>
  <c r="J151"/>
  <c r="I151"/>
  <c r="I150"/>
  <c r="H151"/>
  <c r="H150"/>
  <c r="G151"/>
  <c r="G150"/>
  <c r="F150"/>
  <c r="F151"/>
  <c r="E151"/>
  <c r="D151"/>
  <c r="E150"/>
  <c r="D150"/>
  <c r="N144"/>
  <c r="M144"/>
  <c r="L144"/>
  <c r="K144"/>
  <c r="I144"/>
  <c r="H144"/>
  <c r="G144"/>
  <c r="F144"/>
  <c r="E144"/>
  <c r="D144"/>
  <c r="C144"/>
  <c r="N142"/>
  <c r="M142"/>
  <c r="L142"/>
  <c r="K142"/>
  <c r="I142"/>
  <c r="H142"/>
  <c r="G142"/>
  <c r="F142"/>
  <c r="E142"/>
  <c r="D142"/>
  <c r="N129"/>
  <c r="M129"/>
  <c r="L129"/>
  <c r="K129"/>
  <c r="H129"/>
  <c r="G129"/>
  <c r="F129"/>
  <c r="E129"/>
  <c r="D129"/>
  <c r="N124"/>
  <c r="N123"/>
  <c r="M124"/>
  <c r="M123"/>
  <c r="L124"/>
  <c r="L123"/>
  <c r="K124"/>
  <c r="K123"/>
  <c r="J124"/>
  <c r="I124"/>
  <c r="I123"/>
  <c r="H124"/>
  <c r="H123"/>
  <c r="G124"/>
  <c r="G123"/>
  <c r="F124"/>
  <c r="F123"/>
  <c r="E124"/>
  <c r="E123"/>
  <c r="D124"/>
  <c r="D123"/>
  <c r="N128"/>
  <c r="M128"/>
  <c r="L128"/>
  <c r="K128"/>
  <c r="I128"/>
  <c r="H128"/>
  <c r="G128"/>
  <c r="F128"/>
  <c r="E128"/>
  <c r="D128"/>
  <c r="C128"/>
  <c r="N117"/>
  <c r="M117"/>
  <c r="L117"/>
  <c r="K116"/>
  <c r="I116"/>
  <c r="H116"/>
  <c r="G116"/>
  <c r="F116"/>
  <c r="E116"/>
  <c r="E118" s="1"/>
  <c r="D116"/>
  <c r="C116"/>
  <c r="N115"/>
  <c r="M115"/>
  <c r="L115"/>
  <c r="K115"/>
  <c r="I115"/>
  <c r="H115"/>
  <c r="G115"/>
  <c r="F115"/>
  <c r="E115"/>
  <c r="D115"/>
  <c r="N102"/>
  <c r="M102"/>
  <c r="L102"/>
  <c r="K102"/>
  <c r="H102"/>
  <c r="G102"/>
  <c r="F102"/>
  <c r="E102"/>
  <c r="D102"/>
  <c r="N101"/>
  <c r="M101"/>
  <c r="L101"/>
  <c r="K101"/>
  <c r="I101"/>
  <c r="H101"/>
  <c r="G101"/>
  <c r="F101"/>
  <c r="E101"/>
  <c r="E103" s="1"/>
  <c r="D101"/>
  <c r="C101"/>
  <c r="N97"/>
  <c r="N96"/>
  <c r="M97"/>
  <c r="M96"/>
  <c r="L97"/>
  <c r="L96"/>
  <c r="K97"/>
  <c r="K103" s="1"/>
  <c r="K96"/>
  <c r="J97"/>
  <c r="I97"/>
  <c r="I96"/>
  <c r="H97"/>
  <c r="H96"/>
  <c r="G97"/>
  <c r="G96"/>
  <c r="F97"/>
  <c r="E97"/>
  <c r="D97"/>
  <c r="F96"/>
  <c r="E96"/>
  <c r="D96"/>
  <c r="N90"/>
  <c r="M90"/>
  <c r="L90"/>
  <c r="K90"/>
  <c r="I90"/>
  <c r="H90"/>
  <c r="G90"/>
  <c r="F90"/>
  <c r="E90"/>
  <c r="D90"/>
  <c r="C90"/>
  <c r="N89"/>
  <c r="M89"/>
  <c r="L89"/>
  <c r="K89"/>
  <c r="I89"/>
  <c r="H89"/>
  <c r="G89"/>
  <c r="F89"/>
  <c r="E89"/>
  <c r="D89"/>
  <c r="N77"/>
  <c r="M77"/>
  <c r="L77"/>
  <c r="K77"/>
  <c r="H77"/>
  <c r="G77"/>
  <c r="F77"/>
  <c r="E77"/>
  <c r="D77"/>
  <c r="N76"/>
  <c r="M76"/>
  <c r="L76"/>
  <c r="K76"/>
  <c r="I76"/>
  <c r="H76"/>
  <c r="G76"/>
  <c r="F76"/>
  <c r="E76"/>
  <c r="D76"/>
  <c r="C76"/>
  <c r="N72"/>
  <c r="M72"/>
  <c r="L72"/>
  <c r="K72"/>
  <c r="J72"/>
  <c r="I72"/>
  <c r="H72"/>
  <c r="G72"/>
  <c r="F72"/>
  <c r="E72"/>
  <c r="D72"/>
  <c r="N71"/>
  <c r="M71"/>
  <c r="L71"/>
  <c r="K71"/>
  <c r="I71"/>
  <c r="H71"/>
  <c r="G71"/>
  <c r="F71"/>
  <c r="E71"/>
  <c r="D71"/>
  <c r="N64"/>
  <c r="M64"/>
  <c r="L64"/>
  <c r="K64"/>
  <c r="I64"/>
  <c r="H64"/>
  <c r="G64"/>
  <c r="F64"/>
  <c r="E64"/>
  <c r="D64"/>
  <c r="C64"/>
  <c r="N50"/>
  <c r="M50"/>
  <c r="L50"/>
  <c r="K50"/>
  <c r="H50"/>
  <c r="G50"/>
  <c r="F50"/>
  <c r="E50"/>
  <c r="D50"/>
  <c r="N49"/>
  <c r="M49"/>
  <c r="L49"/>
  <c r="K49"/>
  <c r="I49"/>
  <c r="H49"/>
  <c r="G49"/>
  <c r="F49"/>
  <c r="E49"/>
  <c r="D49"/>
  <c r="C49"/>
  <c r="N45"/>
  <c r="M45"/>
  <c r="L45"/>
  <c r="K45"/>
  <c r="J45"/>
  <c r="I45"/>
  <c r="H45"/>
  <c r="G45"/>
  <c r="F45"/>
  <c r="E45"/>
  <c r="D45"/>
  <c r="N44"/>
  <c r="M44"/>
  <c r="L44"/>
  <c r="K44"/>
  <c r="I44"/>
  <c r="H44"/>
  <c r="G44"/>
  <c r="F44"/>
  <c r="E44"/>
  <c r="D44"/>
  <c r="N37"/>
  <c r="M37"/>
  <c r="L37"/>
  <c r="K37"/>
  <c r="I37"/>
  <c r="H37"/>
  <c r="G37"/>
  <c r="F37"/>
  <c r="E37"/>
  <c r="D37"/>
  <c r="N38"/>
  <c r="M38"/>
  <c r="L38"/>
  <c r="K38"/>
  <c r="I38"/>
  <c r="H38"/>
  <c r="G38"/>
  <c r="F38"/>
  <c r="E38"/>
  <c r="D38"/>
  <c r="C38"/>
  <c r="N24"/>
  <c r="M24"/>
  <c r="L24"/>
  <c r="K24"/>
  <c r="H24"/>
  <c r="G24"/>
  <c r="F24"/>
  <c r="E24"/>
  <c r="D24"/>
  <c r="N23"/>
  <c r="M23"/>
  <c r="L23"/>
  <c r="K23"/>
  <c r="I23"/>
  <c r="H23"/>
  <c r="G23"/>
  <c r="F23"/>
  <c r="E23"/>
  <c r="D23"/>
  <c r="C23"/>
  <c r="N19"/>
  <c r="M19"/>
  <c r="L19"/>
  <c r="K19"/>
  <c r="J19"/>
  <c r="I19"/>
  <c r="H19"/>
  <c r="G19"/>
  <c r="F19"/>
  <c r="F25" s="1"/>
  <c r="E19"/>
  <c r="D19"/>
  <c r="N18"/>
  <c r="M18"/>
  <c r="L18"/>
  <c r="L25" s="1"/>
  <c r="K18"/>
  <c r="I18"/>
  <c r="H18"/>
  <c r="G18"/>
  <c r="F18"/>
  <c r="E18"/>
  <c r="D18"/>
  <c r="N11"/>
  <c r="M11"/>
  <c r="L11"/>
  <c r="K11"/>
  <c r="I11"/>
  <c r="D11"/>
  <c r="E11"/>
  <c r="F11"/>
  <c r="G11"/>
  <c r="H11"/>
  <c r="D9"/>
  <c r="L9"/>
  <c r="M9"/>
  <c r="N9"/>
  <c r="K9"/>
  <c r="H9"/>
  <c r="I9"/>
  <c r="F9"/>
  <c r="G9"/>
  <c r="E9"/>
  <c r="N261"/>
  <c r="M261"/>
  <c r="L261"/>
  <c r="K261"/>
  <c r="J261"/>
  <c r="I261"/>
  <c r="H261"/>
  <c r="G261"/>
  <c r="F261"/>
  <c r="E261"/>
  <c r="D261"/>
  <c r="N249"/>
  <c r="K249"/>
  <c r="J249"/>
  <c r="I249"/>
  <c r="H249"/>
  <c r="G249"/>
  <c r="F249"/>
  <c r="E249"/>
  <c r="D249"/>
  <c r="N235"/>
  <c r="M235"/>
  <c r="K235"/>
  <c r="J235"/>
  <c r="I235"/>
  <c r="H235"/>
  <c r="G235"/>
  <c r="F235"/>
  <c r="E235"/>
  <c r="D235"/>
  <c r="N223"/>
  <c r="M223"/>
  <c r="L223"/>
  <c r="K223"/>
  <c r="J223"/>
  <c r="I223"/>
  <c r="H223"/>
  <c r="G223"/>
  <c r="F223"/>
  <c r="E223"/>
  <c r="D223"/>
  <c r="N208"/>
  <c r="M208"/>
  <c r="K208"/>
  <c r="J208"/>
  <c r="I208"/>
  <c r="H208"/>
  <c r="G208"/>
  <c r="F208"/>
  <c r="E208"/>
  <c r="D208"/>
  <c r="N197"/>
  <c r="L197"/>
  <c r="K197"/>
  <c r="J197"/>
  <c r="I197"/>
  <c r="H197"/>
  <c r="G197"/>
  <c r="G209" s="1"/>
  <c r="F197"/>
  <c r="E197"/>
  <c r="D197"/>
  <c r="N183"/>
  <c r="M183"/>
  <c r="L183"/>
  <c r="K183"/>
  <c r="J183"/>
  <c r="I183"/>
  <c r="G183"/>
  <c r="F183"/>
  <c r="E183"/>
  <c r="D183"/>
  <c r="M171"/>
  <c r="L171"/>
  <c r="K171"/>
  <c r="J171"/>
  <c r="I171"/>
  <c r="H171"/>
  <c r="G171"/>
  <c r="G184" s="1"/>
  <c r="F171"/>
  <c r="E171"/>
  <c r="D171"/>
  <c r="M157"/>
  <c r="L157"/>
  <c r="K157"/>
  <c r="J157"/>
  <c r="I157"/>
  <c r="H157"/>
  <c r="G157"/>
  <c r="F157"/>
  <c r="E157"/>
  <c r="D157"/>
  <c r="N145"/>
  <c r="M145"/>
  <c r="L145"/>
  <c r="K145"/>
  <c r="J145"/>
  <c r="I145"/>
  <c r="H145"/>
  <c r="G145"/>
  <c r="F145"/>
  <c r="E145"/>
  <c r="D145"/>
  <c r="N130"/>
  <c r="M130"/>
  <c r="L130"/>
  <c r="K130"/>
  <c r="J130"/>
  <c r="I130"/>
  <c r="H130"/>
  <c r="G130"/>
  <c r="F130"/>
  <c r="E130"/>
  <c r="D130"/>
  <c r="N118"/>
  <c r="M118"/>
  <c r="L118"/>
  <c r="K118"/>
  <c r="J118"/>
  <c r="I118"/>
  <c r="H118"/>
  <c r="G118"/>
  <c r="F118"/>
  <c r="D118"/>
  <c r="N103"/>
  <c r="M103"/>
  <c r="L103"/>
  <c r="J103"/>
  <c r="I103"/>
  <c r="H103"/>
  <c r="G103"/>
  <c r="F103"/>
  <c r="D103"/>
  <c r="N91"/>
  <c r="M91"/>
  <c r="L91"/>
  <c r="K91"/>
  <c r="J91"/>
  <c r="I91"/>
  <c r="H91"/>
  <c r="G91"/>
  <c r="F91"/>
  <c r="E91"/>
  <c r="D91"/>
  <c r="N78"/>
  <c r="M78"/>
  <c r="L78"/>
  <c r="K78"/>
  <c r="J78"/>
  <c r="I78"/>
  <c r="H78"/>
  <c r="G78"/>
  <c r="F78"/>
  <c r="E78"/>
  <c r="D78"/>
  <c r="N66"/>
  <c r="M66"/>
  <c r="L66"/>
  <c r="K66"/>
  <c r="J66"/>
  <c r="I66"/>
  <c r="H66"/>
  <c r="G66"/>
  <c r="F66"/>
  <c r="E66"/>
  <c r="D66"/>
  <c r="N51"/>
  <c r="M51"/>
  <c r="L51"/>
  <c r="K51"/>
  <c r="J51"/>
  <c r="I51"/>
  <c r="H51"/>
  <c r="G51"/>
  <c r="F51"/>
  <c r="E51"/>
  <c r="D51"/>
  <c r="N39"/>
  <c r="M39"/>
  <c r="L39"/>
  <c r="K39"/>
  <c r="J39"/>
  <c r="I39"/>
  <c r="H39"/>
  <c r="G39"/>
  <c r="F39"/>
  <c r="E39"/>
  <c r="D39"/>
  <c r="N25"/>
  <c r="M25"/>
  <c r="K25"/>
  <c r="J25"/>
  <c r="I25"/>
  <c r="H25"/>
  <c r="G25"/>
  <c r="E25"/>
  <c r="D25"/>
  <c r="N13"/>
  <c r="M13"/>
  <c r="L13"/>
  <c r="K13"/>
  <c r="J13"/>
  <c r="I13"/>
  <c r="H13"/>
  <c r="G13"/>
  <c r="F13"/>
  <c r="E13"/>
  <c r="D13"/>
  <c r="G130" i="1"/>
  <c r="F130"/>
  <c r="N261"/>
  <c r="M261"/>
  <c r="L261"/>
  <c r="K261"/>
  <c r="J261"/>
  <c r="I261"/>
  <c r="H261"/>
  <c r="G261"/>
  <c r="F261"/>
  <c r="E261"/>
  <c r="D261"/>
  <c r="N249"/>
  <c r="M249"/>
  <c r="L249"/>
  <c r="K249"/>
  <c r="J249"/>
  <c r="I249"/>
  <c r="H249"/>
  <c r="G249"/>
  <c r="F249"/>
  <c r="E249"/>
  <c r="D249"/>
  <c r="N235"/>
  <c r="M235"/>
  <c r="L235"/>
  <c r="K235"/>
  <c r="J235"/>
  <c r="I235"/>
  <c r="H235"/>
  <c r="G235"/>
  <c r="F235"/>
  <c r="E235"/>
  <c r="D235"/>
  <c r="N223"/>
  <c r="M223"/>
  <c r="L223"/>
  <c r="K223"/>
  <c r="J223"/>
  <c r="I223"/>
  <c r="H223"/>
  <c r="G223"/>
  <c r="F223"/>
  <c r="E223"/>
  <c r="D223"/>
  <c r="N208"/>
  <c r="M208"/>
  <c r="L208"/>
  <c r="K208"/>
  <c r="J208"/>
  <c r="I208"/>
  <c r="H208"/>
  <c r="G208"/>
  <c r="F208"/>
  <c r="E208"/>
  <c r="D208"/>
  <c r="N197"/>
  <c r="M197"/>
  <c r="L197"/>
  <c r="K197"/>
  <c r="J197"/>
  <c r="I197"/>
  <c r="H197"/>
  <c r="G197"/>
  <c r="F197"/>
  <c r="E197"/>
  <c r="D197"/>
  <c r="N183"/>
  <c r="M183"/>
  <c r="L183"/>
  <c r="K183"/>
  <c r="J183"/>
  <c r="I183"/>
  <c r="H183"/>
  <c r="G183"/>
  <c r="F183"/>
  <c r="E183"/>
  <c r="D183"/>
  <c r="N171"/>
  <c r="M171"/>
  <c r="L171"/>
  <c r="K171"/>
  <c r="J171"/>
  <c r="I171"/>
  <c r="H171"/>
  <c r="G171"/>
  <c r="F171"/>
  <c r="E171"/>
  <c r="D171"/>
  <c r="N157"/>
  <c r="M157"/>
  <c r="L157"/>
  <c r="K157"/>
  <c r="J157"/>
  <c r="I157"/>
  <c r="H157"/>
  <c r="G157"/>
  <c r="F157"/>
  <c r="E157"/>
  <c r="D157"/>
  <c r="N145"/>
  <c r="M145"/>
  <c r="L145"/>
  <c r="K145"/>
  <c r="J145"/>
  <c r="I145"/>
  <c r="H145"/>
  <c r="G145"/>
  <c r="F145"/>
  <c r="E145"/>
  <c r="D145"/>
  <c r="N130"/>
  <c r="M130"/>
  <c r="L130"/>
  <c r="K130"/>
  <c r="J130"/>
  <c r="I130"/>
  <c r="H130"/>
  <c r="E130"/>
  <c r="D130"/>
  <c r="N118"/>
  <c r="M118"/>
  <c r="L118"/>
  <c r="K118"/>
  <c r="J118"/>
  <c r="I118"/>
  <c r="H118"/>
  <c r="G118"/>
  <c r="G131" s="1"/>
  <c r="F118"/>
  <c r="E118"/>
  <c r="D118"/>
  <c r="N103"/>
  <c r="M103"/>
  <c r="L103"/>
  <c r="K103"/>
  <c r="J103"/>
  <c r="I103"/>
  <c r="H103"/>
  <c r="G103"/>
  <c r="F103"/>
  <c r="E103"/>
  <c r="D103"/>
  <c r="N91"/>
  <c r="M91"/>
  <c r="L91"/>
  <c r="K91"/>
  <c r="J91"/>
  <c r="I91"/>
  <c r="H91"/>
  <c r="G91"/>
  <c r="F91"/>
  <c r="E91"/>
  <c r="D91"/>
  <c r="N78"/>
  <c r="M78"/>
  <c r="L78"/>
  <c r="K78"/>
  <c r="J78"/>
  <c r="I78"/>
  <c r="H78"/>
  <c r="G78"/>
  <c r="F78"/>
  <c r="E78"/>
  <c r="D78"/>
  <c r="N66"/>
  <c r="M66"/>
  <c r="L66"/>
  <c r="K66"/>
  <c r="J66"/>
  <c r="I66"/>
  <c r="H66"/>
  <c r="G66"/>
  <c r="F66"/>
  <c r="E66"/>
  <c r="D66"/>
  <c r="N51"/>
  <c r="M51"/>
  <c r="L51"/>
  <c r="K51"/>
  <c r="J51"/>
  <c r="I51"/>
  <c r="H51"/>
  <c r="G51"/>
  <c r="F51"/>
  <c r="E51"/>
  <c r="D51"/>
  <c r="N39"/>
  <c r="M39"/>
  <c r="L39"/>
  <c r="K39"/>
  <c r="J39"/>
  <c r="I39"/>
  <c r="H39"/>
  <c r="G39"/>
  <c r="F39"/>
  <c r="E39"/>
  <c r="D39"/>
  <c r="N25"/>
  <c r="M25"/>
  <c r="L25"/>
  <c r="K25"/>
  <c r="J25"/>
  <c r="I25"/>
  <c r="H25"/>
  <c r="G25"/>
  <c r="F25"/>
  <c r="E25"/>
  <c r="M13"/>
  <c r="G13"/>
  <c r="G26" s="1"/>
  <c r="H13"/>
  <c r="I13"/>
  <c r="J13"/>
  <c r="E13"/>
  <c r="F13"/>
  <c r="K13"/>
  <c r="L13"/>
  <c r="N13"/>
  <c r="D13"/>
  <c r="G262" i="4" l="1"/>
  <c r="L235"/>
  <c r="G236"/>
  <c r="G158"/>
  <c r="G131"/>
  <c r="G104"/>
  <c r="G79"/>
  <c r="G52"/>
  <c r="G26"/>
  <c r="G184" i="1"/>
  <c r="G209"/>
  <c r="G236"/>
  <c r="G262"/>
  <c r="G158"/>
  <c r="G104"/>
  <c r="G52"/>
  <c r="G79"/>
</calcChain>
</file>

<file path=xl/sharedStrings.xml><?xml version="1.0" encoding="utf-8"?>
<sst xmlns="http://schemas.openxmlformats.org/spreadsheetml/2006/main" count="1280" uniqueCount="183">
  <si>
    <t>Меню: День первый. Возрастная категория 11 лет и старше</t>
  </si>
  <si>
    <t>Завтрак</t>
  </si>
  <si>
    <t>Рецептура</t>
  </si>
  <si>
    <t>Наименование блюда</t>
  </si>
  <si>
    <t xml:space="preserve">Масса порции </t>
  </si>
  <si>
    <t>Энергетическая ценность</t>
  </si>
  <si>
    <t>Ккал</t>
  </si>
  <si>
    <t>Витамины, мг</t>
  </si>
  <si>
    <t>Минеральные вещества, мг</t>
  </si>
  <si>
    <t>В1</t>
  </si>
  <si>
    <t>С</t>
  </si>
  <si>
    <t>А</t>
  </si>
  <si>
    <t>Са</t>
  </si>
  <si>
    <t>Р</t>
  </si>
  <si>
    <t>Mg</t>
  </si>
  <si>
    <t>Fe</t>
  </si>
  <si>
    <t>Пищевые вещества, гр.</t>
  </si>
  <si>
    <t>Белки</t>
  </si>
  <si>
    <t>Жиры</t>
  </si>
  <si>
    <t>Угл-ды</t>
  </si>
  <si>
    <t>№ 42</t>
  </si>
  <si>
    <t>№ 323</t>
  </si>
  <si>
    <t>№ 45</t>
  </si>
  <si>
    <t>№ 383</t>
  </si>
  <si>
    <t>Сыр порционно</t>
  </si>
  <si>
    <t>Каша вязкая пшеничная молочная</t>
  </si>
  <si>
    <t>Салат из белокочанной капусты</t>
  </si>
  <si>
    <t xml:space="preserve">Кисель плодово-ягодный </t>
  </si>
  <si>
    <t>Хлеб пшеничный</t>
  </si>
  <si>
    <t>Яблоко</t>
  </si>
  <si>
    <t>Итого</t>
  </si>
  <si>
    <t>Обед</t>
  </si>
  <si>
    <t>№ 21</t>
  </si>
  <si>
    <t>№ 118</t>
  </si>
  <si>
    <t>№ 448</t>
  </si>
  <si>
    <t>№ 434</t>
  </si>
  <si>
    <t>Салат "Здоровье"</t>
  </si>
  <si>
    <t>Суп картофельный с горохом</t>
  </si>
  <si>
    <t>Рис отварной</t>
  </si>
  <si>
    <t>Чай сладкий с лимоном</t>
  </si>
  <si>
    <t>Хлеб ржаной</t>
  </si>
  <si>
    <t>200/15</t>
  </si>
  <si>
    <t>Итого за день</t>
  </si>
  <si>
    <t>Меню: День второй. Возрастная категория 11 лет и старше</t>
  </si>
  <si>
    <t>№ 327</t>
  </si>
  <si>
    <t>№ 422</t>
  </si>
  <si>
    <t>№ 2</t>
  </si>
  <si>
    <t>Каша молочная "Дружба"</t>
  </si>
  <si>
    <t>Кофейный напток с молоком</t>
  </si>
  <si>
    <t>Винегрет овощной</t>
  </si>
  <si>
    <t>№ 26</t>
  </si>
  <si>
    <t>№ 149</t>
  </si>
  <si>
    <t>№ 439</t>
  </si>
  <si>
    <t>№ 191</t>
  </si>
  <si>
    <t>№ 376</t>
  </si>
  <si>
    <t>Салат "Метелка"</t>
  </si>
  <si>
    <t>Щи из свежей капусты</t>
  </si>
  <si>
    <t>Капуста тушеная (свежая)</t>
  </si>
  <si>
    <t>Тефтели школьные</t>
  </si>
  <si>
    <t>Кисель клюквенный</t>
  </si>
  <si>
    <t>80/100</t>
  </si>
  <si>
    <t>Меню: День третий. Возрастная категория 11 лет и старше</t>
  </si>
  <si>
    <t>№ 344</t>
  </si>
  <si>
    <t>№ 433</t>
  </si>
  <si>
    <t>№ 53</t>
  </si>
  <si>
    <t>Чай с сахаром</t>
  </si>
  <si>
    <t>Салат из моркови</t>
  </si>
  <si>
    <t>Апельсин</t>
  </si>
  <si>
    <t>200/30</t>
  </si>
  <si>
    <t>№ 19</t>
  </si>
  <si>
    <t>№ 132</t>
  </si>
  <si>
    <t>№ 445</t>
  </si>
  <si>
    <t>№ 207</t>
  </si>
  <si>
    <t>№ 395</t>
  </si>
  <si>
    <t>Салат "Веснушка"</t>
  </si>
  <si>
    <t>Суп молочный с вермишелью</t>
  </si>
  <si>
    <t>Греча отварная</t>
  </si>
  <si>
    <t>Кура отварная</t>
  </si>
  <si>
    <t>Компот из сухофруктов</t>
  </si>
  <si>
    <t>Меню: День четвертый. Возрастная категория 11 лет и старше</t>
  </si>
  <si>
    <t>№ 328</t>
  </si>
  <si>
    <t>№ 33</t>
  </si>
  <si>
    <t>Каша манная</t>
  </si>
  <si>
    <t>Салат "Прелесть"</t>
  </si>
  <si>
    <t>200/5</t>
  </si>
  <si>
    <t>№45</t>
  </si>
  <si>
    <t>№ 124</t>
  </si>
  <si>
    <t>№ 237</t>
  </si>
  <si>
    <t>№ 426</t>
  </si>
  <si>
    <t>Суп картофельный с мясом</t>
  </si>
  <si>
    <t>Тефтели рыбные</t>
  </si>
  <si>
    <t>Напиток "Несквик"</t>
  </si>
  <si>
    <t>80/30</t>
  </si>
  <si>
    <t>Меню: День пятый. Возрастная категория 11 лет и старше</t>
  </si>
  <si>
    <t>№ 321</t>
  </si>
  <si>
    <t>№ 424</t>
  </si>
  <si>
    <t>Каша вязкая геркулесовая</t>
  </si>
  <si>
    <t>Молоко кипяченое</t>
  </si>
  <si>
    <t>Банан</t>
  </si>
  <si>
    <t>220/5</t>
  </si>
  <si>
    <t>№ 35</t>
  </si>
  <si>
    <t>№ 96</t>
  </si>
  <si>
    <t>№ 443</t>
  </si>
  <si>
    <t>№ 188</t>
  </si>
  <si>
    <t>Салат "Свежесть"</t>
  </si>
  <si>
    <t>Борщ из свежей капусты с картофелем</t>
  </si>
  <si>
    <t>Картофельное пюре</t>
  </si>
  <si>
    <t>Сосиска отварная</t>
  </si>
  <si>
    <t>Меню: День шестой. Возрастная категория 11 лет и старше</t>
  </si>
  <si>
    <t>№ 333</t>
  </si>
  <si>
    <t>№ 24</t>
  </si>
  <si>
    <t>Каша рисовая с изюмом</t>
  </si>
  <si>
    <t>Салат "Мазайка"</t>
  </si>
  <si>
    <t>№ 30</t>
  </si>
  <si>
    <t>№ 107</t>
  </si>
  <si>
    <t>№ 155</t>
  </si>
  <si>
    <t>Салат "Осенний"</t>
  </si>
  <si>
    <t>Суп куриный с вермишелью</t>
  </si>
  <si>
    <t>Гуляш мясной</t>
  </si>
  <si>
    <t>50/75</t>
  </si>
  <si>
    <t>Меню: День седьмой. Возрастная категория 11 лет и старше</t>
  </si>
  <si>
    <t>№ 322</t>
  </si>
  <si>
    <t>Каша вязкая молочная кукурузная</t>
  </si>
  <si>
    <t>Кофейный напиток с молоком</t>
  </si>
  <si>
    <t>№ 37</t>
  </si>
  <si>
    <t>№ 125</t>
  </si>
  <si>
    <t>№ 164</t>
  </si>
  <si>
    <t>№ 349</t>
  </si>
  <si>
    <t>Салат "Ночка"</t>
  </si>
  <si>
    <t>Суп картофельный с рыбой</t>
  </si>
  <si>
    <t>Котлета школьная</t>
  </si>
  <si>
    <t>Компот из свежих яблок</t>
  </si>
  <si>
    <t>Меню: День восьмой. Возрастная категория 11 лет и старше</t>
  </si>
  <si>
    <t>№ 343</t>
  </si>
  <si>
    <t>№433</t>
  </si>
  <si>
    <t>Запеканка творожная с курагой</t>
  </si>
  <si>
    <t>№ 22</t>
  </si>
  <si>
    <t>№ 128</t>
  </si>
  <si>
    <t>№ 184</t>
  </si>
  <si>
    <t>Салат "Изюминка"</t>
  </si>
  <si>
    <t>Суп крестьянский</t>
  </si>
  <si>
    <t>Плов мясной</t>
  </si>
  <si>
    <t>Меню: День девятый. Возрастная категория 11 лет и старше</t>
  </si>
  <si>
    <t>№ 389</t>
  </si>
  <si>
    <t>Компот из кураги</t>
  </si>
  <si>
    <t>Салат "Студенческий"</t>
  </si>
  <si>
    <t>№ 115</t>
  </si>
  <si>
    <t>№ 317</t>
  </si>
  <si>
    <t>№ 238</t>
  </si>
  <si>
    <t>№ 394</t>
  </si>
  <si>
    <t>Суп овощной</t>
  </si>
  <si>
    <t>Рагу из овощей</t>
  </si>
  <si>
    <t>Рыба припущенная</t>
  </si>
  <si>
    <t>Меню: День десятый. Возрастная категория 11 лет и старше</t>
  </si>
  <si>
    <t>№ 364</t>
  </si>
  <si>
    <t>№ 20</t>
  </si>
  <si>
    <t>Омлет из яиц</t>
  </si>
  <si>
    <t>Салат "Восторг"</t>
  </si>
  <si>
    <t>№ 61</t>
  </si>
  <si>
    <t>№ 123</t>
  </si>
  <si>
    <t>№ 157</t>
  </si>
  <si>
    <t>Салат из свежих помидор</t>
  </si>
  <si>
    <t>Суп картофельный с мясными фрикадельками</t>
  </si>
  <si>
    <t>Ежики мясные</t>
  </si>
  <si>
    <t>Сок апельсиновый</t>
  </si>
  <si>
    <t xml:space="preserve">Меню: День первый. Возрастная категория 7-10 лет </t>
  </si>
  <si>
    <t xml:space="preserve">Меню: День второй. Возрастная категория 7-10 лет </t>
  </si>
  <si>
    <t xml:space="preserve">Меню: День третий. Возрастная категория 7-10 лет </t>
  </si>
  <si>
    <t xml:space="preserve">Меню: День четвертый. Возрастная категория 7-10 лет </t>
  </si>
  <si>
    <t xml:space="preserve">Меню: День пятый. Возрастная категория 7-10 лет </t>
  </si>
  <si>
    <t xml:space="preserve">Меню: День шестой. Возрастная категория 7-10 лет </t>
  </si>
  <si>
    <t xml:space="preserve">Меню: День седьмой. Возрастная категория 7-10 лет </t>
  </si>
  <si>
    <t xml:space="preserve">Меню: День восьмой. Возрастная категория 7-10 лет </t>
  </si>
  <si>
    <t xml:space="preserve">Меню: День девятый. Возрастная категория 7-10 лет </t>
  </si>
  <si>
    <t xml:space="preserve">Меню: День десятый. Возрастная категория 7-10 лет </t>
  </si>
  <si>
    <t>Примерное меню МКОУ Угорская ООШ</t>
  </si>
  <si>
    <t>Запеканка творожная с молоком сгущеным</t>
  </si>
  <si>
    <t>№ 411</t>
  </si>
  <si>
    <t>Кефир с сахаром</t>
  </si>
  <si>
    <t>Запеканка творожная с молоком  сгущенным</t>
  </si>
  <si>
    <t>№ 205</t>
  </si>
  <si>
    <t xml:space="preserve">Котлеты рубленые из куры </t>
  </si>
  <si>
    <t>Котлеты рубленые из куры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</si>
</sst>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1" xfId="0" applyFont="1" applyBorder="1"/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/>
    <xf numFmtId="0" fontId="5" fillId="0" borderId="0" xfId="0" applyFont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2" fontId="2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62"/>
  <sheetViews>
    <sheetView tabSelected="1" workbookViewId="0">
      <selection activeCell="J189" sqref="J189"/>
    </sheetView>
  </sheetViews>
  <sheetFormatPr defaultRowHeight="18.75"/>
  <cols>
    <col min="1" max="1" width="12.5703125" style="1" customWidth="1"/>
    <col min="2" max="2" width="36" style="1" customWidth="1"/>
    <col min="3" max="3" width="11.42578125" style="1" customWidth="1"/>
    <col min="4" max="6" width="9.140625" style="1"/>
    <col min="7" max="7" width="11.85546875" style="1" customWidth="1"/>
    <col min="8" max="16384" width="9.140625" style="1"/>
  </cols>
  <sheetData>
    <row r="1" spans="1:15">
      <c r="A1" s="20" t="s">
        <v>175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5" ht="10.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5">
      <c r="A4" s="21" t="s">
        <v>1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5" ht="47.25">
      <c r="A5" s="22" t="s">
        <v>2</v>
      </c>
      <c r="B5" s="22" t="s">
        <v>3</v>
      </c>
      <c r="C5" s="23" t="s">
        <v>4</v>
      </c>
      <c r="D5" s="22" t="s">
        <v>16</v>
      </c>
      <c r="E5" s="24"/>
      <c r="F5" s="24"/>
      <c r="G5" s="6" t="s">
        <v>5</v>
      </c>
      <c r="H5" s="22" t="s">
        <v>7</v>
      </c>
      <c r="I5" s="22"/>
      <c r="J5" s="22"/>
      <c r="K5" s="22" t="s">
        <v>8</v>
      </c>
      <c r="L5" s="22"/>
      <c r="M5" s="22"/>
      <c r="N5" s="22"/>
      <c r="O5" s="2"/>
    </row>
    <row r="6" spans="1:15">
      <c r="A6" s="22"/>
      <c r="B6" s="22"/>
      <c r="C6" s="23"/>
      <c r="D6" s="7" t="s">
        <v>17</v>
      </c>
      <c r="E6" s="7" t="s">
        <v>18</v>
      </c>
      <c r="F6" s="7" t="s">
        <v>19</v>
      </c>
      <c r="G6" s="7" t="s">
        <v>6</v>
      </c>
      <c r="H6" s="7" t="s">
        <v>9</v>
      </c>
      <c r="I6" s="7" t="s">
        <v>10</v>
      </c>
      <c r="J6" s="7" t="s">
        <v>11</v>
      </c>
      <c r="K6" s="7" t="s">
        <v>12</v>
      </c>
      <c r="L6" s="7" t="s">
        <v>13</v>
      </c>
      <c r="M6" s="7" t="s">
        <v>14</v>
      </c>
      <c r="N6" s="7" t="s">
        <v>15</v>
      </c>
    </row>
    <row r="7" spans="1:15">
      <c r="A7" s="8" t="s">
        <v>20</v>
      </c>
      <c r="B7" s="8" t="s">
        <v>24</v>
      </c>
      <c r="C7" s="9">
        <v>10</v>
      </c>
      <c r="D7" s="9">
        <v>2.2999999999999998</v>
      </c>
      <c r="E7" s="9">
        <v>2.9</v>
      </c>
      <c r="F7" s="9">
        <v>0</v>
      </c>
      <c r="G7" s="7">
        <v>108</v>
      </c>
      <c r="H7" s="9">
        <v>0.01</v>
      </c>
      <c r="I7" s="9">
        <v>0.48</v>
      </c>
      <c r="J7" s="9">
        <v>7.0000000000000007E-2</v>
      </c>
      <c r="K7" s="9">
        <v>300</v>
      </c>
      <c r="L7" s="9">
        <v>162</v>
      </c>
      <c r="M7" s="9">
        <v>15</v>
      </c>
      <c r="N7" s="9">
        <v>0.33</v>
      </c>
    </row>
    <row r="8" spans="1:15">
      <c r="A8" s="8" t="s">
        <v>21</v>
      </c>
      <c r="B8" s="8" t="s">
        <v>25</v>
      </c>
      <c r="C8" s="9">
        <v>200</v>
      </c>
      <c r="D8" s="9">
        <v>8.19</v>
      </c>
      <c r="E8" s="9">
        <v>12.8</v>
      </c>
      <c r="F8" s="9">
        <v>42.47</v>
      </c>
      <c r="G8" s="7">
        <v>318</v>
      </c>
      <c r="H8" s="9">
        <v>0.23</v>
      </c>
      <c r="I8" s="9">
        <v>1.2</v>
      </c>
      <c r="J8" s="9">
        <v>7.0000000000000007E-2</v>
      </c>
      <c r="K8" s="9">
        <v>129.12</v>
      </c>
      <c r="L8" s="9">
        <v>197.6</v>
      </c>
      <c r="M8" s="9">
        <v>53.23</v>
      </c>
      <c r="N8" s="9">
        <v>1.43</v>
      </c>
    </row>
    <row r="9" spans="1:15">
      <c r="A9" s="8" t="s">
        <v>22</v>
      </c>
      <c r="B9" s="8" t="s">
        <v>26</v>
      </c>
      <c r="C9" s="9">
        <v>100</v>
      </c>
      <c r="D9" s="9">
        <v>1.53</v>
      </c>
      <c r="E9" s="9">
        <v>5.07</v>
      </c>
      <c r="F9" s="9">
        <v>9.0299999999999994</v>
      </c>
      <c r="G9" s="7">
        <v>86.67</v>
      </c>
      <c r="H9" s="9">
        <v>0.02</v>
      </c>
      <c r="I9" s="9">
        <v>38.47</v>
      </c>
      <c r="J9" s="9">
        <v>0</v>
      </c>
      <c r="K9" s="9">
        <v>51.62</v>
      </c>
      <c r="L9" s="9">
        <v>27.03</v>
      </c>
      <c r="M9" s="9">
        <v>14.63</v>
      </c>
      <c r="N9" s="9">
        <v>0.62</v>
      </c>
    </row>
    <row r="10" spans="1:15">
      <c r="A10" s="8" t="s">
        <v>23</v>
      </c>
      <c r="B10" s="8" t="s">
        <v>27</v>
      </c>
      <c r="C10" s="9">
        <v>200</v>
      </c>
      <c r="D10" s="9">
        <v>0</v>
      </c>
      <c r="E10" s="9">
        <v>0</v>
      </c>
      <c r="F10" s="9">
        <v>9.98</v>
      </c>
      <c r="G10" s="7">
        <v>119</v>
      </c>
      <c r="H10" s="9">
        <v>0</v>
      </c>
      <c r="I10" s="9">
        <v>0</v>
      </c>
      <c r="J10" s="9">
        <v>0</v>
      </c>
      <c r="K10" s="9">
        <v>0.2</v>
      </c>
      <c r="L10" s="9">
        <v>0</v>
      </c>
      <c r="M10" s="9">
        <v>0</v>
      </c>
      <c r="N10" s="9">
        <v>0.03</v>
      </c>
    </row>
    <row r="11" spans="1:15">
      <c r="A11" s="8"/>
      <c r="B11" s="8" t="s">
        <v>28</v>
      </c>
      <c r="C11" s="9">
        <v>50</v>
      </c>
      <c r="D11" s="9">
        <v>7.15</v>
      </c>
      <c r="E11" s="9">
        <v>4.0750000000000002</v>
      </c>
      <c r="F11" s="9">
        <v>18.2</v>
      </c>
      <c r="G11" s="7">
        <v>84.45</v>
      </c>
      <c r="H11" s="9">
        <v>3.5000000000000003E-2</v>
      </c>
      <c r="I11" s="9">
        <v>3.56</v>
      </c>
      <c r="J11" s="9">
        <v>0</v>
      </c>
      <c r="K11" s="9">
        <v>9.8000000000000007</v>
      </c>
      <c r="L11" s="9">
        <v>35.6</v>
      </c>
      <c r="M11" s="9">
        <v>3.9</v>
      </c>
      <c r="N11" s="9">
        <v>0.16</v>
      </c>
    </row>
    <row r="12" spans="1:15">
      <c r="A12" s="8"/>
      <c r="B12" s="8" t="s">
        <v>29</v>
      </c>
      <c r="C12" s="9">
        <v>200</v>
      </c>
      <c r="D12" s="9">
        <v>0.86</v>
      </c>
      <c r="E12" s="9">
        <v>0</v>
      </c>
      <c r="F12" s="9">
        <v>20.6</v>
      </c>
      <c r="G12" s="7">
        <v>94</v>
      </c>
      <c r="H12" s="9">
        <v>0.02</v>
      </c>
      <c r="I12" s="9">
        <v>26</v>
      </c>
      <c r="J12" s="9">
        <v>0</v>
      </c>
      <c r="K12" s="9">
        <v>32</v>
      </c>
      <c r="L12" s="9">
        <v>32</v>
      </c>
      <c r="M12" s="9">
        <v>18</v>
      </c>
      <c r="N12" s="9">
        <v>4.4000000000000004</v>
      </c>
    </row>
    <row r="13" spans="1:15">
      <c r="A13" s="8" t="s">
        <v>30</v>
      </c>
      <c r="B13" s="8"/>
      <c r="C13" s="9"/>
      <c r="D13" s="7">
        <f>SUM(D7:D12)</f>
        <v>20.029999999999998</v>
      </c>
      <c r="E13" s="7">
        <f t="shared" ref="E13:N13" si="0">SUM(E7:E12)</f>
        <v>24.845000000000002</v>
      </c>
      <c r="F13" s="7">
        <f t="shared" si="0"/>
        <v>100.28</v>
      </c>
      <c r="G13" s="7">
        <f t="shared" ref="G13" si="1">SUM(G7:G12)</f>
        <v>810.12</v>
      </c>
      <c r="H13" s="7">
        <f t="shared" ref="H13" si="2">SUM(H7:H12)</f>
        <v>0.31500000000000006</v>
      </c>
      <c r="I13" s="7">
        <f t="shared" ref="I13" si="3">SUM(I7:I12)</f>
        <v>69.710000000000008</v>
      </c>
      <c r="J13" s="7">
        <f t="shared" ref="J13" si="4">SUM(J7:J12)</f>
        <v>0.14000000000000001</v>
      </c>
      <c r="K13" s="7">
        <f t="shared" si="0"/>
        <v>522.74</v>
      </c>
      <c r="L13" s="7">
        <f t="shared" si="0"/>
        <v>454.23</v>
      </c>
      <c r="M13" s="7">
        <f t="shared" si="0"/>
        <v>104.75999999999999</v>
      </c>
      <c r="N13" s="7">
        <f t="shared" si="0"/>
        <v>6.9700000000000006</v>
      </c>
    </row>
    <row r="14" spans="1:15">
      <c r="A14" s="3"/>
      <c r="B14" s="3"/>
      <c r="C14" s="3"/>
      <c r="D14" s="3"/>
      <c r="E14" s="3"/>
      <c r="F14" s="3"/>
      <c r="G14" s="4"/>
      <c r="H14" s="3"/>
      <c r="I14" s="3"/>
      <c r="J14" s="3"/>
      <c r="K14" s="3"/>
      <c r="L14" s="3"/>
      <c r="M14" s="3"/>
      <c r="N14" s="3"/>
    </row>
    <row r="15" spans="1:15">
      <c r="A15" s="21" t="s">
        <v>31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5" ht="47.25">
      <c r="A16" s="22" t="s">
        <v>2</v>
      </c>
      <c r="B16" s="22" t="s">
        <v>3</v>
      </c>
      <c r="C16" s="23" t="s">
        <v>4</v>
      </c>
      <c r="D16" s="22" t="s">
        <v>16</v>
      </c>
      <c r="E16" s="24"/>
      <c r="F16" s="24"/>
      <c r="G16" s="6" t="s">
        <v>5</v>
      </c>
      <c r="H16" s="22" t="s">
        <v>7</v>
      </c>
      <c r="I16" s="22"/>
      <c r="J16" s="22"/>
      <c r="K16" s="22" t="s">
        <v>8</v>
      </c>
      <c r="L16" s="22"/>
      <c r="M16" s="22"/>
      <c r="N16" s="22"/>
    </row>
    <row r="17" spans="1:14">
      <c r="A17" s="22"/>
      <c r="B17" s="22"/>
      <c r="C17" s="23"/>
      <c r="D17" s="7" t="s">
        <v>17</v>
      </c>
      <c r="E17" s="7" t="s">
        <v>18</v>
      </c>
      <c r="F17" s="7" t="s">
        <v>19</v>
      </c>
      <c r="G17" s="7" t="s">
        <v>6</v>
      </c>
      <c r="H17" s="7" t="s">
        <v>9</v>
      </c>
      <c r="I17" s="7" t="s">
        <v>10</v>
      </c>
      <c r="J17" s="7" t="s">
        <v>11</v>
      </c>
      <c r="K17" s="7" t="s">
        <v>12</v>
      </c>
      <c r="L17" s="7" t="s">
        <v>13</v>
      </c>
      <c r="M17" s="7" t="s">
        <v>14</v>
      </c>
      <c r="N17" s="7" t="s">
        <v>15</v>
      </c>
    </row>
    <row r="18" spans="1:14">
      <c r="A18" s="8" t="s">
        <v>32</v>
      </c>
      <c r="B18" s="8" t="s">
        <v>36</v>
      </c>
      <c r="C18" s="9">
        <v>100</v>
      </c>
      <c r="D18" s="9">
        <v>1.45</v>
      </c>
      <c r="E18" s="9">
        <v>18.399999999999999</v>
      </c>
      <c r="F18" s="9">
        <v>6.52</v>
      </c>
      <c r="G18" s="7">
        <v>196.67</v>
      </c>
      <c r="H18" s="9">
        <v>0.03</v>
      </c>
      <c r="I18" s="9">
        <v>6.72</v>
      </c>
      <c r="J18" s="9">
        <v>0</v>
      </c>
      <c r="K18" s="9">
        <v>21.87</v>
      </c>
      <c r="L18" s="9">
        <v>40.58</v>
      </c>
      <c r="M18" s="9">
        <v>23.28</v>
      </c>
      <c r="N18" s="9">
        <v>0.85</v>
      </c>
    </row>
    <row r="19" spans="1:14">
      <c r="A19" s="8" t="s">
        <v>33</v>
      </c>
      <c r="B19" s="8" t="s">
        <v>37</v>
      </c>
      <c r="C19" s="9">
        <v>250</v>
      </c>
      <c r="D19" s="9">
        <v>5.48</v>
      </c>
      <c r="E19" s="9">
        <v>4.74</v>
      </c>
      <c r="F19" s="9">
        <v>19.739999999999998</v>
      </c>
      <c r="G19" s="7">
        <v>146</v>
      </c>
      <c r="H19" s="9">
        <v>0.23</v>
      </c>
      <c r="I19" s="9">
        <v>15.25</v>
      </c>
      <c r="J19" s="9">
        <v>0.02</v>
      </c>
      <c r="K19" s="9">
        <v>43.84</v>
      </c>
      <c r="L19" s="9">
        <v>109.4</v>
      </c>
      <c r="M19" s="9">
        <v>40.299999999999997</v>
      </c>
      <c r="N19" s="9">
        <v>2.02</v>
      </c>
    </row>
    <row r="20" spans="1:14">
      <c r="A20" s="8" t="s">
        <v>34</v>
      </c>
      <c r="B20" s="8" t="s">
        <v>38</v>
      </c>
      <c r="C20" s="9">
        <v>180</v>
      </c>
      <c r="D20" s="9">
        <v>4.57</v>
      </c>
      <c r="E20" s="9">
        <v>7.33</v>
      </c>
      <c r="F20" s="9">
        <v>46.33</v>
      </c>
      <c r="G20" s="7">
        <v>273.60000000000002</v>
      </c>
      <c r="H20" s="9">
        <v>0.04</v>
      </c>
      <c r="I20" s="9">
        <v>0</v>
      </c>
      <c r="J20" s="9">
        <v>0.04</v>
      </c>
      <c r="K20" s="9">
        <v>39.29</v>
      </c>
      <c r="L20" s="9">
        <v>98.74</v>
      </c>
      <c r="M20" s="9">
        <v>34.4</v>
      </c>
      <c r="N20" s="9">
        <v>0.92</v>
      </c>
    </row>
    <row r="21" spans="1:14">
      <c r="A21" s="8" t="s">
        <v>180</v>
      </c>
      <c r="B21" s="8" t="s">
        <v>182</v>
      </c>
      <c r="C21" s="9">
        <v>100</v>
      </c>
      <c r="D21" s="9">
        <v>14.16</v>
      </c>
      <c r="E21" s="9">
        <v>10.8</v>
      </c>
      <c r="F21" s="9">
        <v>3.89</v>
      </c>
      <c r="G21" s="7">
        <v>282.66000000000003</v>
      </c>
      <c r="H21" s="9">
        <v>0.21</v>
      </c>
      <c r="I21" s="9">
        <v>0.23</v>
      </c>
      <c r="J21" s="9">
        <v>0.03</v>
      </c>
      <c r="K21" s="9">
        <v>19.21</v>
      </c>
      <c r="L21" s="9">
        <v>128.69999999999999</v>
      </c>
      <c r="M21" s="9">
        <v>24.95</v>
      </c>
      <c r="N21" s="9">
        <v>1.44</v>
      </c>
    </row>
    <row r="22" spans="1:14">
      <c r="A22" s="8" t="s">
        <v>35</v>
      </c>
      <c r="B22" s="3" t="s">
        <v>39</v>
      </c>
      <c r="C22" s="9" t="s">
        <v>41</v>
      </c>
      <c r="D22" s="9">
        <v>0.26</v>
      </c>
      <c r="E22" s="9">
        <v>0.05</v>
      </c>
      <c r="F22" s="9">
        <v>15.22</v>
      </c>
      <c r="G22" s="7">
        <v>59</v>
      </c>
      <c r="H22" s="9">
        <v>0</v>
      </c>
      <c r="I22" s="9">
        <v>2.9</v>
      </c>
      <c r="J22" s="9">
        <v>0</v>
      </c>
      <c r="K22" s="9">
        <v>8.0500000000000007</v>
      </c>
      <c r="L22" s="9">
        <v>9.7799999999999994</v>
      </c>
      <c r="M22" s="9">
        <v>5.24</v>
      </c>
      <c r="N22" s="9">
        <v>0.9</v>
      </c>
    </row>
    <row r="23" spans="1:14">
      <c r="A23" s="8"/>
      <c r="B23" s="8" t="s">
        <v>28</v>
      </c>
      <c r="C23" s="9">
        <v>60</v>
      </c>
      <c r="D23" s="9">
        <v>8.58</v>
      </c>
      <c r="E23" s="9">
        <v>4.8899999999999997</v>
      </c>
      <c r="F23" s="9">
        <v>21.84</v>
      </c>
      <c r="G23" s="7">
        <v>101.34</v>
      </c>
      <c r="H23" s="9">
        <v>4.2000000000000003E-2</v>
      </c>
      <c r="I23" s="9">
        <v>4.2720000000000002</v>
      </c>
      <c r="J23" s="9">
        <v>0</v>
      </c>
      <c r="K23" s="9">
        <v>11.76</v>
      </c>
      <c r="L23" s="9">
        <v>42.72</v>
      </c>
      <c r="M23" s="9">
        <v>4.68</v>
      </c>
      <c r="N23" s="9">
        <v>0.192</v>
      </c>
    </row>
    <row r="24" spans="1:14">
      <c r="A24" s="8"/>
      <c r="B24" s="8" t="s">
        <v>40</v>
      </c>
      <c r="C24" s="9">
        <v>60</v>
      </c>
      <c r="D24" s="9">
        <v>2.89</v>
      </c>
      <c r="E24" s="9">
        <v>0.504</v>
      </c>
      <c r="F24" s="9">
        <v>24.138000000000002</v>
      </c>
      <c r="G24" s="7">
        <v>115.56</v>
      </c>
      <c r="H24" s="9">
        <v>0.09</v>
      </c>
      <c r="I24" s="9">
        <v>0</v>
      </c>
      <c r="J24" s="9">
        <v>0</v>
      </c>
      <c r="K24" s="9">
        <v>21.6</v>
      </c>
      <c r="L24" s="9">
        <v>1.3080000000000001</v>
      </c>
      <c r="M24" s="9">
        <v>13.38</v>
      </c>
      <c r="N24" s="9">
        <v>2.04</v>
      </c>
    </row>
    <row r="25" spans="1:14">
      <c r="A25" s="8" t="s">
        <v>30</v>
      </c>
      <c r="B25" s="8"/>
      <c r="C25" s="9"/>
      <c r="D25" s="7">
        <v>32.39</v>
      </c>
      <c r="E25" s="7">
        <f t="shared" ref="E25" si="5">SUM(E18:E24)</f>
        <v>46.713999999999992</v>
      </c>
      <c r="F25" s="7">
        <f t="shared" ref="F25" si="6">SUM(F18:F24)</f>
        <v>137.678</v>
      </c>
      <c r="G25" s="7">
        <f t="shared" ref="G25" si="7">SUM(G18:G24)</f>
        <v>1174.83</v>
      </c>
      <c r="H25" s="7">
        <f t="shared" ref="H25" si="8">SUM(H18:H24)</f>
        <v>0.64200000000000002</v>
      </c>
      <c r="I25" s="7">
        <f t="shared" ref="I25" si="9">SUM(I18:I24)</f>
        <v>29.372</v>
      </c>
      <c r="J25" s="7">
        <f t="shared" ref="J25" si="10">SUM(J18:J24)</f>
        <v>0.09</v>
      </c>
      <c r="K25" s="7">
        <f t="shared" ref="K25" si="11">SUM(K18:K24)</f>
        <v>165.62</v>
      </c>
      <c r="L25" s="7">
        <f t="shared" ref="L25" si="12">SUM(L18:L24)</f>
        <v>431.22799999999995</v>
      </c>
      <c r="M25" s="7">
        <f t="shared" ref="M25" si="13">SUM(M18:M24)</f>
        <v>146.22999999999999</v>
      </c>
      <c r="N25" s="7">
        <f t="shared" ref="N25" si="14">SUM(N18:N24)</f>
        <v>8.3620000000000019</v>
      </c>
    </row>
    <row r="26" spans="1:14">
      <c r="A26" s="19" t="s">
        <v>42</v>
      </c>
      <c r="B26" s="19"/>
      <c r="C26" s="10"/>
      <c r="D26" s="10"/>
      <c r="E26" s="10"/>
      <c r="F26" s="10"/>
      <c r="G26" s="11">
        <f>G13+G25</f>
        <v>1984.9499999999998</v>
      </c>
      <c r="H26" s="10"/>
      <c r="I26" s="10"/>
      <c r="J26" s="10"/>
      <c r="K26" s="10"/>
      <c r="L26" s="10"/>
      <c r="M26" s="10"/>
      <c r="N26" s="10"/>
    </row>
    <row r="27" spans="1:14" hidden="1"/>
    <row r="28" spans="1:14" hidden="1"/>
    <row r="29" spans="1:14">
      <c r="A29" s="20" t="s">
        <v>175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0" spans="1:14">
      <c r="A30" s="20" t="s">
        <v>43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</row>
    <row r="31" spans="1:14" ht="10.5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</row>
    <row r="32" spans="1:14">
      <c r="A32" s="21" t="s">
        <v>1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</row>
    <row r="33" spans="1:15" ht="47.25">
      <c r="A33" s="22" t="s">
        <v>2</v>
      </c>
      <c r="B33" s="22" t="s">
        <v>3</v>
      </c>
      <c r="C33" s="23" t="s">
        <v>4</v>
      </c>
      <c r="D33" s="22" t="s">
        <v>16</v>
      </c>
      <c r="E33" s="24"/>
      <c r="F33" s="24"/>
      <c r="G33" s="6" t="s">
        <v>5</v>
      </c>
      <c r="H33" s="22" t="s">
        <v>7</v>
      </c>
      <c r="I33" s="22"/>
      <c r="J33" s="22"/>
      <c r="K33" s="22" t="s">
        <v>8</v>
      </c>
      <c r="L33" s="22"/>
      <c r="M33" s="22"/>
      <c r="N33" s="22"/>
      <c r="O33" s="2"/>
    </row>
    <row r="34" spans="1:15">
      <c r="A34" s="22"/>
      <c r="B34" s="22"/>
      <c r="C34" s="23"/>
      <c r="D34" s="7" t="s">
        <v>17</v>
      </c>
      <c r="E34" s="7" t="s">
        <v>18</v>
      </c>
      <c r="F34" s="7" t="s">
        <v>19</v>
      </c>
      <c r="G34" s="7" t="s">
        <v>6</v>
      </c>
      <c r="H34" s="7" t="s">
        <v>9</v>
      </c>
      <c r="I34" s="7" t="s">
        <v>10</v>
      </c>
      <c r="J34" s="7" t="s">
        <v>11</v>
      </c>
      <c r="K34" s="7" t="s">
        <v>12</v>
      </c>
      <c r="L34" s="7" t="s">
        <v>13</v>
      </c>
      <c r="M34" s="7" t="s">
        <v>14</v>
      </c>
      <c r="N34" s="7" t="s">
        <v>15</v>
      </c>
    </row>
    <row r="35" spans="1:15">
      <c r="A35" s="8" t="s">
        <v>44</v>
      </c>
      <c r="B35" s="8" t="s">
        <v>47</v>
      </c>
      <c r="C35" s="9">
        <v>200</v>
      </c>
      <c r="D35" s="9">
        <v>5.87</v>
      </c>
      <c r="E35" s="9">
        <v>12.04</v>
      </c>
      <c r="F35" s="9">
        <v>33.159999999999997</v>
      </c>
      <c r="G35" s="7">
        <v>264</v>
      </c>
      <c r="H35" s="9">
        <v>0.12</v>
      </c>
      <c r="I35" s="9">
        <v>1.23</v>
      </c>
      <c r="J35" s="9">
        <v>7.0000000000000007E-2</v>
      </c>
      <c r="K35" s="9">
        <v>129.12</v>
      </c>
      <c r="L35" s="9">
        <v>152.69999999999999</v>
      </c>
      <c r="M35" s="9">
        <v>36.32</v>
      </c>
      <c r="N35" s="9">
        <v>0.79</v>
      </c>
    </row>
    <row r="36" spans="1:15">
      <c r="A36" s="8" t="s">
        <v>45</v>
      </c>
      <c r="B36" s="8" t="s">
        <v>48</v>
      </c>
      <c r="C36" s="9">
        <v>200</v>
      </c>
      <c r="D36" s="9">
        <v>1.4</v>
      </c>
      <c r="E36" s="9">
        <v>1.6</v>
      </c>
      <c r="F36" s="9">
        <v>22.31</v>
      </c>
      <c r="G36" s="7">
        <v>105</v>
      </c>
      <c r="H36" s="9">
        <v>0.02</v>
      </c>
      <c r="I36" s="9">
        <v>0.65</v>
      </c>
      <c r="J36" s="9">
        <v>0.01</v>
      </c>
      <c r="K36" s="9">
        <v>51.62</v>
      </c>
      <c r="L36" s="9">
        <v>45</v>
      </c>
      <c r="M36" s="9">
        <v>7</v>
      </c>
      <c r="N36" s="9">
        <v>0.09</v>
      </c>
    </row>
    <row r="37" spans="1:15">
      <c r="A37" s="8" t="s">
        <v>46</v>
      </c>
      <c r="B37" s="8" t="s">
        <v>49</v>
      </c>
      <c r="C37" s="9">
        <v>100</v>
      </c>
      <c r="D37" s="9">
        <v>2.3199999999999998</v>
      </c>
      <c r="E37" s="9">
        <v>10.1</v>
      </c>
      <c r="F37" s="9">
        <v>5.83</v>
      </c>
      <c r="G37" s="7">
        <v>120</v>
      </c>
      <c r="H37" s="9">
        <v>0.03</v>
      </c>
      <c r="I37" s="9">
        <v>7.32</v>
      </c>
      <c r="J37" s="9">
        <v>0</v>
      </c>
      <c r="K37" s="9">
        <v>0.2</v>
      </c>
      <c r="L37" s="9">
        <v>31.98</v>
      </c>
      <c r="M37" s="9">
        <v>15.38</v>
      </c>
      <c r="N37" s="9">
        <v>0.77</v>
      </c>
    </row>
    <row r="38" spans="1:15">
      <c r="A38" s="8"/>
      <c r="B38" s="8" t="s">
        <v>28</v>
      </c>
      <c r="C38" s="9">
        <v>50</v>
      </c>
      <c r="D38" s="9">
        <v>7.15</v>
      </c>
      <c r="E38" s="9">
        <v>4.0750000000000002</v>
      </c>
      <c r="F38" s="9">
        <v>18.2</v>
      </c>
      <c r="G38" s="7">
        <v>84.45</v>
      </c>
      <c r="H38" s="9">
        <v>3.5000000000000003E-2</v>
      </c>
      <c r="I38" s="9">
        <v>3.56</v>
      </c>
      <c r="J38" s="9">
        <v>0</v>
      </c>
      <c r="K38" s="9">
        <v>9.8000000000000007</v>
      </c>
      <c r="L38" s="9">
        <v>35.6</v>
      </c>
      <c r="M38" s="9">
        <v>3.9</v>
      </c>
      <c r="N38" s="9">
        <v>0.16</v>
      </c>
    </row>
    <row r="39" spans="1:15">
      <c r="A39" s="8" t="s">
        <v>30</v>
      </c>
      <c r="B39" s="8"/>
      <c r="C39" s="9"/>
      <c r="D39" s="7">
        <f t="shared" ref="D39:N39" si="15">SUM(D35:D38)</f>
        <v>16.740000000000002</v>
      </c>
      <c r="E39" s="7">
        <f t="shared" si="15"/>
        <v>27.814999999999998</v>
      </c>
      <c r="F39" s="7">
        <f t="shared" si="15"/>
        <v>79.5</v>
      </c>
      <c r="G39" s="7">
        <f t="shared" si="15"/>
        <v>573.45000000000005</v>
      </c>
      <c r="H39" s="7">
        <f t="shared" si="15"/>
        <v>0.20499999999999999</v>
      </c>
      <c r="I39" s="7">
        <f t="shared" si="15"/>
        <v>12.76</v>
      </c>
      <c r="J39" s="7">
        <f t="shared" si="15"/>
        <v>0.08</v>
      </c>
      <c r="K39" s="7">
        <f t="shared" si="15"/>
        <v>190.74</v>
      </c>
      <c r="L39" s="7">
        <f t="shared" si="15"/>
        <v>265.27999999999997</v>
      </c>
      <c r="M39" s="7">
        <f t="shared" si="15"/>
        <v>62.6</v>
      </c>
      <c r="N39" s="7">
        <f t="shared" si="15"/>
        <v>1.8099999999999998</v>
      </c>
    </row>
    <row r="40" spans="1:15">
      <c r="A40" s="3"/>
      <c r="B40" s="3"/>
      <c r="C40" s="3"/>
      <c r="D40" s="3"/>
      <c r="E40" s="3"/>
      <c r="F40" s="3"/>
      <c r="G40" s="4"/>
      <c r="H40" s="3"/>
      <c r="I40" s="3"/>
      <c r="J40" s="3"/>
      <c r="K40" s="3"/>
      <c r="L40" s="3"/>
      <c r="M40" s="3"/>
      <c r="N40" s="3"/>
    </row>
    <row r="41" spans="1:15">
      <c r="A41" s="21" t="s">
        <v>31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</row>
    <row r="42" spans="1:15" ht="47.25">
      <c r="A42" s="22" t="s">
        <v>2</v>
      </c>
      <c r="B42" s="22" t="s">
        <v>3</v>
      </c>
      <c r="C42" s="23" t="s">
        <v>4</v>
      </c>
      <c r="D42" s="22" t="s">
        <v>16</v>
      </c>
      <c r="E42" s="24"/>
      <c r="F42" s="24"/>
      <c r="G42" s="6" t="s">
        <v>5</v>
      </c>
      <c r="H42" s="22" t="s">
        <v>7</v>
      </c>
      <c r="I42" s="22"/>
      <c r="J42" s="22"/>
      <c r="K42" s="22" t="s">
        <v>8</v>
      </c>
      <c r="L42" s="22"/>
      <c r="M42" s="22"/>
      <c r="N42" s="22"/>
    </row>
    <row r="43" spans="1:15">
      <c r="A43" s="22"/>
      <c r="B43" s="22"/>
      <c r="C43" s="23"/>
      <c r="D43" s="7" t="s">
        <v>17</v>
      </c>
      <c r="E43" s="7" t="s">
        <v>18</v>
      </c>
      <c r="F43" s="7" t="s">
        <v>19</v>
      </c>
      <c r="G43" s="7" t="s">
        <v>6</v>
      </c>
      <c r="H43" s="7" t="s">
        <v>9</v>
      </c>
      <c r="I43" s="7" t="s">
        <v>10</v>
      </c>
      <c r="J43" s="7" t="s">
        <v>11</v>
      </c>
      <c r="K43" s="7" t="s">
        <v>12</v>
      </c>
      <c r="L43" s="7" t="s">
        <v>13</v>
      </c>
      <c r="M43" s="7" t="s">
        <v>14</v>
      </c>
      <c r="N43" s="7" t="s">
        <v>15</v>
      </c>
    </row>
    <row r="44" spans="1:15">
      <c r="A44" s="8" t="s">
        <v>50</v>
      </c>
      <c r="B44" s="8" t="s">
        <v>55</v>
      </c>
      <c r="C44" s="9">
        <v>100</v>
      </c>
      <c r="D44" s="9">
        <v>0.92</v>
      </c>
      <c r="E44" s="9">
        <v>0.16</v>
      </c>
      <c r="F44" s="9">
        <v>5.91</v>
      </c>
      <c r="G44" s="7">
        <v>29.33</v>
      </c>
      <c r="H44" s="9">
        <v>0.03</v>
      </c>
      <c r="I44" s="9">
        <v>28.67</v>
      </c>
      <c r="J44" s="9">
        <v>0</v>
      </c>
      <c r="K44" s="9">
        <v>28.67</v>
      </c>
      <c r="L44" s="9">
        <v>23.39</v>
      </c>
      <c r="M44" s="9">
        <v>14</v>
      </c>
      <c r="N44" s="9">
        <v>1.03</v>
      </c>
    </row>
    <row r="45" spans="1:15">
      <c r="A45" s="8" t="s">
        <v>51</v>
      </c>
      <c r="B45" s="8" t="s">
        <v>56</v>
      </c>
      <c r="C45" s="9">
        <v>250</v>
      </c>
      <c r="D45" s="9">
        <v>2.0499999999999998</v>
      </c>
      <c r="E45" s="9">
        <v>5.25</v>
      </c>
      <c r="F45" s="9">
        <v>7.25</v>
      </c>
      <c r="G45" s="7">
        <v>85</v>
      </c>
      <c r="H45" s="9">
        <v>0.06</v>
      </c>
      <c r="I45" s="9">
        <v>49.94</v>
      </c>
      <c r="J45" s="9">
        <v>0.03</v>
      </c>
      <c r="K45" s="9">
        <v>49.94</v>
      </c>
      <c r="L45" s="9">
        <v>42.7</v>
      </c>
      <c r="M45" s="9">
        <v>18.52</v>
      </c>
      <c r="N45" s="9">
        <v>0.76</v>
      </c>
    </row>
    <row r="46" spans="1:15">
      <c r="A46" s="8" t="s">
        <v>52</v>
      </c>
      <c r="B46" s="8" t="s">
        <v>57</v>
      </c>
      <c r="C46" s="9">
        <v>100</v>
      </c>
      <c r="D46" s="9">
        <v>2.37</v>
      </c>
      <c r="E46" s="9">
        <v>3.02</v>
      </c>
      <c r="F46" s="9">
        <v>10.06</v>
      </c>
      <c r="G46" s="7">
        <v>253.8</v>
      </c>
      <c r="H46" s="9">
        <v>0.14000000000000001</v>
      </c>
      <c r="I46" s="9">
        <v>0</v>
      </c>
      <c r="J46" s="9">
        <v>0.04</v>
      </c>
      <c r="K46" s="9">
        <v>41.94</v>
      </c>
      <c r="L46" s="9">
        <v>72.069999999999993</v>
      </c>
      <c r="M46" s="9">
        <v>29.51</v>
      </c>
      <c r="N46" s="9">
        <v>1.19</v>
      </c>
    </row>
    <row r="47" spans="1:15">
      <c r="A47" s="8" t="s">
        <v>53</v>
      </c>
      <c r="B47" s="8" t="s">
        <v>58</v>
      </c>
      <c r="C47" s="9" t="s">
        <v>60</v>
      </c>
      <c r="D47" s="9">
        <v>12.3</v>
      </c>
      <c r="E47" s="9">
        <v>16.91</v>
      </c>
      <c r="F47" s="9">
        <v>21.8</v>
      </c>
      <c r="G47" s="7">
        <v>327.5</v>
      </c>
      <c r="H47" s="9">
        <v>0.35</v>
      </c>
      <c r="I47" s="9">
        <v>10.25</v>
      </c>
      <c r="J47" s="9">
        <v>0.01</v>
      </c>
      <c r="K47" s="9">
        <v>61.91</v>
      </c>
      <c r="L47" s="9">
        <v>164</v>
      </c>
      <c r="M47" s="9">
        <v>56.09</v>
      </c>
      <c r="N47" s="9">
        <v>2.0099999999999998</v>
      </c>
    </row>
    <row r="48" spans="1:15">
      <c r="A48" s="8" t="s">
        <v>54</v>
      </c>
      <c r="B48" s="3" t="s">
        <v>59</v>
      </c>
      <c r="C48" s="9">
        <v>200</v>
      </c>
      <c r="D48" s="9">
        <v>0.1</v>
      </c>
      <c r="E48" s="9">
        <v>0</v>
      </c>
      <c r="F48" s="9">
        <v>27.88</v>
      </c>
      <c r="G48" s="7">
        <v>110</v>
      </c>
      <c r="H48" s="9">
        <v>0</v>
      </c>
      <c r="I48" s="9">
        <v>3</v>
      </c>
      <c r="J48" s="9">
        <v>0</v>
      </c>
      <c r="K48" s="9">
        <v>6.8</v>
      </c>
      <c r="L48" s="9">
        <v>9.1300000000000008</v>
      </c>
      <c r="M48" s="9">
        <v>1.6</v>
      </c>
      <c r="N48" s="9">
        <v>0.18</v>
      </c>
    </row>
    <row r="49" spans="1:15">
      <c r="A49" s="8"/>
      <c r="B49" s="8" t="s">
        <v>28</v>
      </c>
      <c r="C49" s="9">
        <v>60</v>
      </c>
      <c r="D49" s="9">
        <v>8.58</v>
      </c>
      <c r="E49" s="9">
        <v>4.8899999999999997</v>
      </c>
      <c r="F49" s="9">
        <v>21.84</v>
      </c>
      <c r="G49" s="7">
        <v>101.34</v>
      </c>
      <c r="H49" s="9">
        <v>4.2000000000000003E-2</v>
      </c>
      <c r="I49" s="9">
        <v>4.2720000000000002</v>
      </c>
      <c r="J49" s="9">
        <v>0</v>
      </c>
      <c r="K49" s="9">
        <v>11.76</v>
      </c>
      <c r="L49" s="9">
        <v>42.72</v>
      </c>
      <c r="M49" s="9">
        <v>4.68</v>
      </c>
      <c r="N49" s="9">
        <v>0.192</v>
      </c>
    </row>
    <row r="50" spans="1:15">
      <c r="A50" s="8"/>
      <c r="B50" s="8" t="s">
        <v>40</v>
      </c>
      <c r="C50" s="9">
        <v>60</v>
      </c>
      <c r="D50" s="9">
        <v>2.8980000000000001</v>
      </c>
      <c r="E50" s="9">
        <v>0.504</v>
      </c>
      <c r="F50" s="9">
        <v>24.138000000000002</v>
      </c>
      <c r="G50" s="7">
        <v>115.56</v>
      </c>
      <c r="H50" s="9">
        <v>0.09</v>
      </c>
      <c r="I50" s="9">
        <v>0</v>
      </c>
      <c r="J50" s="9">
        <v>0</v>
      </c>
      <c r="K50" s="9">
        <v>21.6</v>
      </c>
      <c r="L50" s="9">
        <v>1.3080000000000001</v>
      </c>
      <c r="M50" s="9">
        <v>13.38</v>
      </c>
      <c r="N50" s="9">
        <v>2.04</v>
      </c>
    </row>
    <row r="51" spans="1:15">
      <c r="A51" s="15" t="s">
        <v>30</v>
      </c>
      <c r="B51" s="15"/>
      <c r="C51" s="7"/>
      <c r="D51" s="7">
        <f>SUM(D44:D50)</f>
        <v>29.218</v>
      </c>
      <c r="E51" s="7">
        <f t="shared" ref="E51" si="16">SUM(E44:E50)</f>
        <v>30.734000000000002</v>
      </c>
      <c r="F51" s="7">
        <f t="shared" ref="F51" si="17">SUM(F44:F50)</f>
        <v>118.878</v>
      </c>
      <c r="G51" s="7">
        <f t="shared" ref="G51" si="18">SUM(G44:G50)</f>
        <v>1022.53</v>
      </c>
      <c r="H51" s="7">
        <f t="shared" ref="H51" si="19">SUM(H44:H50)</f>
        <v>0.71199999999999997</v>
      </c>
      <c r="I51" s="7">
        <f t="shared" ref="I51" si="20">SUM(I44:I50)</f>
        <v>96.132000000000005</v>
      </c>
      <c r="J51" s="7">
        <f t="shared" ref="J51" si="21">SUM(J44:J50)</f>
        <v>0.08</v>
      </c>
      <c r="K51" s="7">
        <f t="shared" ref="K51" si="22">SUM(K44:K50)</f>
        <v>222.61999999999998</v>
      </c>
      <c r="L51" s="7">
        <f t="shared" ref="L51" si="23">SUM(L44:L50)</f>
        <v>355.31799999999998</v>
      </c>
      <c r="M51" s="7">
        <f t="shared" ref="M51" si="24">SUM(M44:M50)</f>
        <v>137.78</v>
      </c>
      <c r="N51" s="7">
        <f t="shared" ref="N51" si="25">SUM(N44:N50)</f>
        <v>7.4020000000000001</v>
      </c>
    </row>
    <row r="52" spans="1:15">
      <c r="A52" s="19" t="s">
        <v>42</v>
      </c>
      <c r="B52" s="19"/>
      <c r="C52" s="10"/>
      <c r="D52" s="10"/>
      <c r="E52" s="10"/>
      <c r="F52" s="10"/>
      <c r="G52" s="11">
        <f>G39+G51</f>
        <v>1595.98</v>
      </c>
      <c r="H52" s="10"/>
      <c r="I52" s="10"/>
      <c r="J52" s="10"/>
      <c r="K52" s="10"/>
      <c r="L52" s="10"/>
      <c r="M52" s="10"/>
      <c r="N52" s="10"/>
    </row>
    <row r="53" spans="1:15" ht="6.75" customHeight="1"/>
    <row r="54" spans="1:15" ht="4.5" customHeight="1"/>
    <row r="55" spans="1:15">
      <c r="A55" s="20" t="s">
        <v>175</v>
      </c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</row>
    <row r="56" spans="1:15">
      <c r="A56" s="20" t="s">
        <v>61</v>
      </c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</row>
    <row r="57" spans="1:15" ht="10.5" customHeight="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</row>
    <row r="58" spans="1:15">
      <c r="A58" s="21" t="s">
        <v>1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</row>
    <row r="59" spans="1:15" ht="47.25">
      <c r="A59" s="22" t="s">
        <v>2</v>
      </c>
      <c r="B59" s="22" t="s">
        <v>3</v>
      </c>
      <c r="C59" s="23" t="s">
        <v>4</v>
      </c>
      <c r="D59" s="22" t="s">
        <v>16</v>
      </c>
      <c r="E59" s="24"/>
      <c r="F59" s="24"/>
      <c r="G59" s="6" t="s">
        <v>5</v>
      </c>
      <c r="H59" s="22" t="s">
        <v>7</v>
      </c>
      <c r="I59" s="22"/>
      <c r="J59" s="22"/>
      <c r="K59" s="22" t="s">
        <v>8</v>
      </c>
      <c r="L59" s="22"/>
      <c r="M59" s="22"/>
      <c r="N59" s="22"/>
      <c r="O59" s="2"/>
    </row>
    <row r="60" spans="1:15">
      <c r="A60" s="22"/>
      <c r="B60" s="22"/>
      <c r="C60" s="23"/>
      <c r="D60" s="7" t="s">
        <v>17</v>
      </c>
      <c r="E60" s="7" t="s">
        <v>18</v>
      </c>
      <c r="F60" s="7" t="s">
        <v>19</v>
      </c>
      <c r="G60" s="7" t="s">
        <v>6</v>
      </c>
      <c r="H60" s="7" t="s">
        <v>9</v>
      </c>
      <c r="I60" s="7" t="s">
        <v>10</v>
      </c>
      <c r="J60" s="7" t="s">
        <v>11</v>
      </c>
      <c r="K60" s="7" t="s">
        <v>12</v>
      </c>
      <c r="L60" s="7" t="s">
        <v>13</v>
      </c>
      <c r="M60" s="7" t="s">
        <v>14</v>
      </c>
      <c r="N60" s="7" t="s">
        <v>15</v>
      </c>
    </row>
    <row r="61" spans="1:15" ht="32.25">
      <c r="A61" s="14" t="s">
        <v>62</v>
      </c>
      <c r="B61" s="13" t="s">
        <v>176</v>
      </c>
      <c r="C61" s="9" t="s">
        <v>68</v>
      </c>
      <c r="D61" s="9">
        <v>38.51</v>
      </c>
      <c r="E61" s="9">
        <v>14.78</v>
      </c>
      <c r="F61" s="9">
        <v>64.510000000000005</v>
      </c>
      <c r="G61" s="7">
        <v>678</v>
      </c>
      <c r="H61" s="9">
        <v>0.15</v>
      </c>
      <c r="I61" s="9">
        <v>1.55</v>
      </c>
      <c r="J61" s="9">
        <v>0.19</v>
      </c>
      <c r="K61" s="9">
        <v>508.36</v>
      </c>
      <c r="L61" s="9">
        <v>577</v>
      </c>
      <c r="M61" s="9">
        <v>70.27</v>
      </c>
      <c r="N61" s="9">
        <v>1.44</v>
      </c>
    </row>
    <row r="62" spans="1:15">
      <c r="A62" s="8" t="s">
        <v>63</v>
      </c>
      <c r="B62" s="8" t="s">
        <v>65</v>
      </c>
      <c r="C62" s="9" t="s">
        <v>41</v>
      </c>
      <c r="D62" s="9">
        <v>0.2</v>
      </c>
      <c r="E62" s="9">
        <v>0.05</v>
      </c>
      <c r="F62" s="9">
        <v>15.01</v>
      </c>
      <c r="G62" s="7">
        <v>57</v>
      </c>
      <c r="H62" s="9">
        <v>0</v>
      </c>
      <c r="I62" s="9">
        <v>0.1</v>
      </c>
      <c r="J62" s="9">
        <v>0</v>
      </c>
      <c r="K62" s="9">
        <v>5.25</v>
      </c>
      <c r="L62" s="9">
        <v>8.24</v>
      </c>
      <c r="M62" s="9">
        <v>4.4000000000000004</v>
      </c>
      <c r="N62" s="9">
        <v>0.86</v>
      </c>
    </row>
    <row r="63" spans="1:15">
      <c r="A63" s="8" t="s">
        <v>64</v>
      </c>
      <c r="B63" s="8" t="s">
        <v>66</v>
      </c>
      <c r="C63" s="9">
        <v>20</v>
      </c>
      <c r="D63" s="9">
        <v>0.75</v>
      </c>
      <c r="E63" s="9">
        <v>0.05</v>
      </c>
      <c r="F63" s="9">
        <v>13.65</v>
      </c>
      <c r="G63" s="7">
        <v>57</v>
      </c>
      <c r="H63" s="9">
        <v>0.03</v>
      </c>
      <c r="I63" s="9">
        <v>6.97</v>
      </c>
      <c r="J63" s="9">
        <v>0</v>
      </c>
      <c r="K63" s="9">
        <v>30.34</v>
      </c>
      <c r="L63" s="9">
        <v>33.700000000000003</v>
      </c>
      <c r="M63" s="9">
        <v>20.190000000000001</v>
      </c>
      <c r="N63" s="9">
        <v>0.53</v>
      </c>
    </row>
    <row r="64" spans="1:15">
      <c r="A64" s="8"/>
      <c r="B64" s="8" t="s">
        <v>28</v>
      </c>
      <c r="C64" s="9">
        <v>50</v>
      </c>
      <c r="D64" s="9">
        <v>7.15</v>
      </c>
      <c r="E64" s="9">
        <v>4.0750000000000002</v>
      </c>
      <c r="F64" s="9">
        <v>18.2</v>
      </c>
      <c r="G64" s="7">
        <v>84.45</v>
      </c>
      <c r="H64" s="9">
        <v>3.5000000000000003E-2</v>
      </c>
      <c r="I64" s="9">
        <v>3.56</v>
      </c>
      <c r="J64" s="9">
        <v>0</v>
      </c>
      <c r="K64" s="9">
        <v>11.76</v>
      </c>
      <c r="L64" s="9">
        <v>35.6</v>
      </c>
      <c r="M64" s="9">
        <v>3.9</v>
      </c>
      <c r="N64" s="9">
        <v>0.16</v>
      </c>
    </row>
    <row r="65" spans="1:14">
      <c r="A65" s="8"/>
      <c r="B65" s="3" t="s">
        <v>67</v>
      </c>
      <c r="C65" s="9">
        <v>200</v>
      </c>
      <c r="D65" s="9">
        <v>4.5999999999999996</v>
      </c>
      <c r="E65" s="9">
        <v>4.95</v>
      </c>
      <c r="F65" s="9">
        <v>8.7200000000000006</v>
      </c>
      <c r="G65" s="7">
        <v>104.2</v>
      </c>
      <c r="H65" s="9">
        <v>0.04</v>
      </c>
      <c r="I65" s="9">
        <v>10</v>
      </c>
      <c r="J65" s="9">
        <v>0</v>
      </c>
      <c r="K65" s="9">
        <v>21.6</v>
      </c>
      <c r="L65" s="9">
        <v>32</v>
      </c>
      <c r="M65" s="9">
        <v>12</v>
      </c>
      <c r="N65" s="9">
        <v>2.4</v>
      </c>
    </row>
    <row r="66" spans="1:14" s="16" customFormat="1">
      <c r="A66" s="15" t="s">
        <v>30</v>
      </c>
      <c r="B66" s="15"/>
      <c r="C66" s="7"/>
      <c r="D66" s="7">
        <f t="shared" ref="D66:N66" si="26">SUM(D61:D65)</f>
        <v>51.21</v>
      </c>
      <c r="E66" s="7">
        <f t="shared" si="26"/>
        <v>23.905000000000001</v>
      </c>
      <c r="F66" s="7">
        <f t="shared" si="26"/>
        <v>120.09000000000002</v>
      </c>
      <c r="G66" s="7">
        <f t="shared" si="26"/>
        <v>980.65000000000009</v>
      </c>
      <c r="H66" s="7">
        <f t="shared" si="26"/>
        <v>0.255</v>
      </c>
      <c r="I66" s="7">
        <f t="shared" si="26"/>
        <v>22.18</v>
      </c>
      <c r="J66" s="7">
        <f t="shared" si="26"/>
        <v>0.19</v>
      </c>
      <c r="K66" s="7">
        <f t="shared" si="26"/>
        <v>577.31000000000006</v>
      </c>
      <c r="L66" s="7">
        <f t="shared" si="26"/>
        <v>686.54000000000008</v>
      </c>
      <c r="M66" s="7">
        <f t="shared" si="26"/>
        <v>110.76</v>
      </c>
      <c r="N66" s="7">
        <f t="shared" si="26"/>
        <v>5.3900000000000006</v>
      </c>
    </row>
    <row r="67" spans="1:14">
      <c r="A67" s="3"/>
      <c r="B67" s="3"/>
      <c r="C67" s="3"/>
      <c r="D67" s="3"/>
      <c r="E67" s="3"/>
      <c r="F67" s="3"/>
      <c r="G67" s="4"/>
      <c r="H67" s="3"/>
      <c r="I67" s="3"/>
      <c r="J67" s="3"/>
      <c r="K67" s="3"/>
      <c r="L67" s="3"/>
      <c r="M67" s="3"/>
      <c r="N67" s="3"/>
    </row>
    <row r="68" spans="1:14">
      <c r="A68" s="21" t="s">
        <v>31</v>
      </c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</row>
    <row r="69" spans="1:14" ht="47.25">
      <c r="A69" s="22" t="s">
        <v>2</v>
      </c>
      <c r="B69" s="22" t="s">
        <v>3</v>
      </c>
      <c r="C69" s="23" t="s">
        <v>4</v>
      </c>
      <c r="D69" s="22" t="s">
        <v>16</v>
      </c>
      <c r="E69" s="24"/>
      <c r="F69" s="24"/>
      <c r="G69" s="6" t="s">
        <v>5</v>
      </c>
      <c r="H69" s="22" t="s">
        <v>7</v>
      </c>
      <c r="I69" s="22"/>
      <c r="J69" s="22"/>
      <c r="K69" s="22" t="s">
        <v>8</v>
      </c>
      <c r="L69" s="22"/>
      <c r="M69" s="22"/>
      <c r="N69" s="22"/>
    </row>
    <row r="70" spans="1:14">
      <c r="A70" s="22"/>
      <c r="B70" s="22"/>
      <c r="C70" s="23"/>
      <c r="D70" s="7" t="s">
        <v>17</v>
      </c>
      <c r="E70" s="7" t="s">
        <v>18</v>
      </c>
      <c r="F70" s="7" t="s">
        <v>19</v>
      </c>
      <c r="G70" s="7" t="s">
        <v>6</v>
      </c>
      <c r="H70" s="7" t="s">
        <v>9</v>
      </c>
      <c r="I70" s="7" t="s">
        <v>10</v>
      </c>
      <c r="J70" s="7" t="s">
        <v>11</v>
      </c>
      <c r="K70" s="7" t="s">
        <v>12</v>
      </c>
      <c r="L70" s="7" t="s">
        <v>13</v>
      </c>
      <c r="M70" s="7" t="s">
        <v>14</v>
      </c>
      <c r="N70" s="7" t="s">
        <v>15</v>
      </c>
    </row>
    <row r="71" spans="1:14">
      <c r="A71" s="8" t="s">
        <v>69</v>
      </c>
      <c r="B71" s="8" t="s">
        <v>74</v>
      </c>
      <c r="C71" s="9">
        <v>100</v>
      </c>
      <c r="D71" s="9">
        <v>2.6</v>
      </c>
      <c r="E71" s="9">
        <v>2.7</v>
      </c>
      <c r="F71" s="9">
        <v>2.5499999999999998</v>
      </c>
      <c r="G71" s="7">
        <v>93.33</v>
      </c>
      <c r="H71" s="9">
        <v>0.02</v>
      </c>
      <c r="I71" s="9">
        <v>27.37</v>
      </c>
      <c r="J71" s="9">
        <v>0</v>
      </c>
      <c r="K71" s="9">
        <v>42.82</v>
      </c>
      <c r="L71" s="9">
        <v>27.31</v>
      </c>
      <c r="M71" s="9">
        <v>14.88</v>
      </c>
      <c r="N71" s="9">
        <v>1.02</v>
      </c>
    </row>
    <row r="72" spans="1:14">
      <c r="A72" s="8" t="s">
        <v>70</v>
      </c>
      <c r="B72" s="8" t="s">
        <v>75</v>
      </c>
      <c r="C72" s="9">
        <v>250</v>
      </c>
      <c r="D72" s="9">
        <v>5.65</v>
      </c>
      <c r="E72" s="9">
        <v>5.91</v>
      </c>
      <c r="F72" s="9">
        <v>21.06</v>
      </c>
      <c r="G72" s="7">
        <v>161</v>
      </c>
      <c r="H72" s="9">
        <v>0.1</v>
      </c>
      <c r="I72" s="9">
        <v>1.62</v>
      </c>
      <c r="J72" s="9">
        <v>0.03</v>
      </c>
      <c r="K72" s="9">
        <v>156.19</v>
      </c>
      <c r="L72" s="9">
        <v>136.1</v>
      </c>
      <c r="M72" s="9">
        <v>26.56</v>
      </c>
      <c r="N72" s="9">
        <v>0.39</v>
      </c>
    </row>
    <row r="73" spans="1:14">
      <c r="A73" s="8" t="s">
        <v>71</v>
      </c>
      <c r="B73" s="8" t="s">
        <v>76</v>
      </c>
      <c r="C73" s="9">
        <v>180</v>
      </c>
      <c r="D73" s="9">
        <v>10.5</v>
      </c>
      <c r="E73" s="9">
        <v>7.94</v>
      </c>
      <c r="F73" s="9">
        <v>51.68</v>
      </c>
      <c r="G73" s="7">
        <v>324</v>
      </c>
      <c r="H73" s="9">
        <v>0.35</v>
      </c>
      <c r="I73" s="9">
        <v>0</v>
      </c>
      <c r="J73" s="9">
        <v>0</v>
      </c>
      <c r="K73" s="9">
        <v>20.69</v>
      </c>
      <c r="L73" s="9">
        <v>249</v>
      </c>
      <c r="M73" s="9">
        <v>162.9</v>
      </c>
      <c r="N73" s="9">
        <v>5.6</v>
      </c>
    </row>
    <row r="74" spans="1:14">
      <c r="A74" s="8" t="s">
        <v>72</v>
      </c>
      <c r="B74" s="8" t="s">
        <v>77</v>
      </c>
      <c r="C74" s="9">
        <v>80</v>
      </c>
      <c r="D74" s="9">
        <v>24.97</v>
      </c>
      <c r="E74" s="9">
        <v>9.44</v>
      </c>
      <c r="F74" s="9">
        <v>0.9</v>
      </c>
      <c r="G74" s="7">
        <v>187.2</v>
      </c>
      <c r="H74" s="9">
        <v>0.08</v>
      </c>
      <c r="I74" s="9">
        <v>0.24</v>
      </c>
      <c r="J74" s="9">
        <v>0.08</v>
      </c>
      <c r="K74" s="9">
        <v>25.01</v>
      </c>
      <c r="L74" s="9">
        <v>220.3</v>
      </c>
      <c r="M74" s="9">
        <v>24.74</v>
      </c>
      <c r="N74" s="9">
        <v>1.89</v>
      </c>
    </row>
    <row r="75" spans="1:14">
      <c r="A75" s="8" t="s">
        <v>73</v>
      </c>
      <c r="B75" s="3" t="s">
        <v>78</v>
      </c>
      <c r="C75" s="9">
        <v>200</v>
      </c>
      <c r="D75" s="9">
        <v>0</v>
      </c>
      <c r="E75" s="9">
        <v>0</v>
      </c>
      <c r="F75" s="9">
        <v>9.98</v>
      </c>
      <c r="G75" s="7">
        <v>104</v>
      </c>
      <c r="H75" s="9">
        <v>0</v>
      </c>
      <c r="I75" s="9">
        <v>0</v>
      </c>
      <c r="J75" s="9">
        <v>0</v>
      </c>
      <c r="K75" s="9">
        <v>0.2</v>
      </c>
      <c r="L75" s="9">
        <v>0</v>
      </c>
      <c r="M75" s="9">
        <v>0</v>
      </c>
      <c r="N75" s="9">
        <v>3.31</v>
      </c>
    </row>
    <row r="76" spans="1:14">
      <c r="A76" s="8"/>
      <c r="B76" s="8" t="s">
        <v>28</v>
      </c>
      <c r="C76" s="9">
        <v>60</v>
      </c>
      <c r="D76" s="9">
        <v>8.58</v>
      </c>
      <c r="E76" s="9">
        <v>4.8899999999999997</v>
      </c>
      <c r="F76" s="9">
        <v>21.84</v>
      </c>
      <c r="G76" s="7">
        <v>101.34</v>
      </c>
      <c r="H76" s="9">
        <v>4.2000000000000003E-2</v>
      </c>
      <c r="I76" s="9">
        <v>4.2720000000000002</v>
      </c>
      <c r="J76" s="9">
        <v>0</v>
      </c>
      <c r="K76" s="9">
        <v>42.72</v>
      </c>
      <c r="L76" s="9">
        <v>4.68</v>
      </c>
      <c r="M76" s="9">
        <v>0.192</v>
      </c>
      <c r="N76" s="9">
        <v>0.32</v>
      </c>
    </row>
    <row r="77" spans="1:14">
      <c r="A77" s="8"/>
      <c r="B77" s="8" t="s">
        <v>40</v>
      </c>
      <c r="C77" s="9">
        <v>60</v>
      </c>
      <c r="D77" s="9">
        <v>2.8980000000000001</v>
      </c>
      <c r="E77" s="9">
        <v>0.504</v>
      </c>
      <c r="F77" s="9">
        <v>24.138000000000002</v>
      </c>
      <c r="G77" s="7">
        <v>115.56</v>
      </c>
      <c r="H77" s="9">
        <v>0.09</v>
      </c>
      <c r="I77" s="9">
        <v>0</v>
      </c>
      <c r="J77" s="9">
        <v>0</v>
      </c>
      <c r="K77" s="9">
        <v>1.3080000000000001</v>
      </c>
      <c r="L77" s="9">
        <v>13.38</v>
      </c>
      <c r="M77" s="9">
        <v>2.04</v>
      </c>
      <c r="N77" s="9">
        <v>3.4</v>
      </c>
    </row>
    <row r="78" spans="1:14" s="16" customFormat="1">
      <c r="A78" s="15" t="s">
        <v>30</v>
      </c>
      <c r="B78" s="15"/>
      <c r="C78" s="7"/>
      <c r="D78" s="7">
        <f>SUM(D71:D77)</f>
        <v>55.198</v>
      </c>
      <c r="E78" s="7">
        <f t="shared" ref="E78" si="27">SUM(E71:E77)</f>
        <v>31.384000000000004</v>
      </c>
      <c r="F78" s="7">
        <f t="shared" ref="F78" si="28">SUM(F71:F77)</f>
        <v>132.148</v>
      </c>
      <c r="G78" s="7">
        <f t="shared" ref="G78" si="29">SUM(G71:G77)</f>
        <v>1086.43</v>
      </c>
      <c r="H78" s="7">
        <f t="shared" ref="H78" si="30">SUM(H71:H77)</f>
        <v>0.68199999999999994</v>
      </c>
      <c r="I78" s="7">
        <f t="shared" ref="I78" si="31">SUM(I71:I77)</f>
        <v>33.502000000000002</v>
      </c>
      <c r="J78" s="7">
        <f t="shared" ref="J78" si="32">SUM(J71:J77)</f>
        <v>0.11</v>
      </c>
      <c r="K78" s="7">
        <f t="shared" ref="K78" si="33">SUM(K71:K77)</f>
        <v>288.93799999999999</v>
      </c>
      <c r="L78" s="7">
        <f t="shared" ref="L78" si="34">SUM(L71:L77)</f>
        <v>650.77</v>
      </c>
      <c r="M78" s="7">
        <f t="shared" ref="M78" si="35">SUM(M71:M77)</f>
        <v>231.31200000000001</v>
      </c>
      <c r="N78" s="7">
        <f t="shared" ref="N78" si="36">SUM(N71:N77)</f>
        <v>15.930000000000001</v>
      </c>
    </row>
    <row r="79" spans="1:14">
      <c r="A79" s="19" t="s">
        <v>42</v>
      </c>
      <c r="B79" s="19"/>
      <c r="C79" s="10"/>
      <c r="D79" s="10"/>
      <c r="E79" s="10"/>
      <c r="F79" s="10"/>
      <c r="G79" s="11">
        <f>G66+G78</f>
        <v>2067.08</v>
      </c>
      <c r="H79" s="10"/>
      <c r="I79" s="10"/>
      <c r="J79" s="10"/>
      <c r="K79" s="10"/>
      <c r="L79" s="10"/>
      <c r="M79" s="10"/>
      <c r="N79" s="10"/>
    </row>
    <row r="81" spans="1:15">
      <c r="A81" s="20" t="s">
        <v>175</v>
      </c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</row>
    <row r="82" spans="1:15">
      <c r="A82" s="20" t="s">
        <v>79</v>
      </c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</row>
    <row r="83" spans="1:15" ht="10.5" customHeigh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</row>
    <row r="84" spans="1:15">
      <c r="A84" s="21" t="s">
        <v>1</v>
      </c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</row>
    <row r="85" spans="1:15" ht="47.25">
      <c r="A85" s="22" t="s">
        <v>2</v>
      </c>
      <c r="B85" s="22" t="s">
        <v>3</v>
      </c>
      <c r="C85" s="23" t="s">
        <v>4</v>
      </c>
      <c r="D85" s="22" t="s">
        <v>16</v>
      </c>
      <c r="E85" s="24"/>
      <c r="F85" s="24"/>
      <c r="G85" s="6" t="s">
        <v>5</v>
      </c>
      <c r="H85" s="22" t="s">
        <v>7</v>
      </c>
      <c r="I85" s="22"/>
      <c r="J85" s="22"/>
      <c r="K85" s="22" t="s">
        <v>8</v>
      </c>
      <c r="L85" s="22"/>
      <c r="M85" s="22"/>
      <c r="N85" s="22"/>
      <c r="O85" s="2"/>
    </row>
    <row r="86" spans="1:15">
      <c r="A86" s="22"/>
      <c r="B86" s="22"/>
      <c r="C86" s="23"/>
      <c r="D86" s="7" t="s">
        <v>17</v>
      </c>
      <c r="E86" s="7" t="s">
        <v>18</v>
      </c>
      <c r="F86" s="7" t="s">
        <v>19</v>
      </c>
      <c r="G86" s="7" t="s">
        <v>6</v>
      </c>
      <c r="H86" s="7" t="s">
        <v>9</v>
      </c>
      <c r="I86" s="7" t="s">
        <v>10</v>
      </c>
      <c r="J86" s="7" t="s">
        <v>11</v>
      </c>
      <c r="K86" s="7" t="s">
        <v>12</v>
      </c>
      <c r="L86" s="7" t="s">
        <v>13</v>
      </c>
      <c r="M86" s="7" t="s">
        <v>14</v>
      </c>
      <c r="N86" s="7" t="s">
        <v>15</v>
      </c>
    </row>
    <row r="87" spans="1:15">
      <c r="A87" s="8" t="s">
        <v>80</v>
      </c>
      <c r="B87" s="8" t="s">
        <v>82</v>
      </c>
      <c r="C87" s="9" t="s">
        <v>84</v>
      </c>
      <c r="D87" s="9">
        <v>4.47</v>
      </c>
      <c r="E87" s="9">
        <v>5.9</v>
      </c>
      <c r="F87" s="9">
        <v>31.03</v>
      </c>
      <c r="G87" s="7">
        <v>254</v>
      </c>
      <c r="H87" s="9">
        <v>0.08</v>
      </c>
      <c r="I87" s="9">
        <v>1.32</v>
      </c>
      <c r="J87" s="9">
        <v>7.0000000000000007E-2</v>
      </c>
      <c r="K87" s="9">
        <v>133.36000000000001</v>
      </c>
      <c r="L87" s="9">
        <v>119</v>
      </c>
      <c r="M87" s="9">
        <v>19.91</v>
      </c>
      <c r="N87" s="9">
        <v>0.43</v>
      </c>
    </row>
    <row r="88" spans="1:15">
      <c r="A88" s="8" t="s">
        <v>73</v>
      </c>
      <c r="B88" s="8" t="s">
        <v>78</v>
      </c>
      <c r="C88" s="9">
        <v>200</v>
      </c>
      <c r="D88" s="9">
        <v>0</v>
      </c>
      <c r="E88" s="9">
        <v>0</v>
      </c>
      <c r="F88" s="9">
        <v>9.98</v>
      </c>
      <c r="G88" s="7">
        <v>104</v>
      </c>
      <c r="H88" s="9">
        <v>0</v>
      </c>
      <c r="I88" s="9">
        <v>0</v>
      </c>
      <c r="J88" s="9">
        <v>0</v>
      </c>
      <c r="K88" s="9">
        <v>0.2</v>
      </c>
      <c r="L88" s="9">
        <v>0</v>
      </c>
      <c r="M88" s="9">
        <v>0</v>
      </c>
      <c r="N88" s="9">
        <v>0.03</v>
      </c>
    </row>
    <row r="89" spans="1:15">
      <c r="A89" s="8" t="s">
        <v>81</v>
      </c>
      <c r="B89" s="8" t="s">
        <v>83</v>
      </c>
      <c r="C89" s="9">
        <v>100</v>
      </c>
      <c r="D89" s="9">
        <v>0.87</v>
      </c>
      <c r="E89" s="9">
        <v>0.08</v>
      </c>
      <c r="F89" s="9">
        <v>9.1300000000000008</v>
      </c>
      <c r="G89" s="7">
        <v>196.67</v>
      </c>
      <c r="H89" s="9">
        <v>0.03</v>
      </c>
      <c r="I89" s="9">
        <v>6.72</v>
      </c>
      <c r="J89" s="9">
        <v>0</v>
      </c>
      <c r="K89" s="9">
        <v>21.87</v>
      </c>
      <c r="L89" s="9">
        <v>40.58</v>
      </c>
      <c r="M89" s="9">
        <v>23.28</v>
      </c>
      <c r="N89" s="9">
        <v>0.85</v>
      </c>
    </row>
    <row r="90" spans="1:15">
      <c r="A90" s="8"/>
      <c r="B90" s="8" t="s">
        <v>28</v>
      </c>
      <c r="C90" s="9">
        <v>50</v>
      </c>
      <c r="D90" s="9">
        <v>7.15</v>
      </c>
      <c r="E90" s="9">
        <v>4.0750000000000002</v>
      </c>
      <c r="F90" s="9">
        <v>18.2</v>
      </c>
      <c r="G90" s="7">
        <v>84.45</v>
      </c>
      <c r="H90" s="9">
        <v>3.5000000000000003E-2</v>
      </c>
      <c r="I90" s="9">
        <v>3.56</v>
      </c>
      <c r="J90" s="9">
        <v>0</v>
      </c>
      <c r="K90" s="9">
        <v>11.76</v>
      </c>
      <c r="L90" s="9">
        <v>35.6</v>
      </c>
      <c r="M90" s="9">
        <v>3.9</v>
      </c>
      <c r="N90" s="9">
        <v>0.16</v>
      </c>
    </row>
    <row r="91" spans="1:15" s="16" customFormat="1">
      <c r="A91" s="15" t="s">
        <v>30</v>
      </c>
      <c r="B91" s="15"/>
      <c r="C91" s="7"/>
      <c r="D91" s="7">
        <f t="shared" ref="D91:N91" si="37">SUM(D87:D90)</f>
        <v>12.49</v>
      </c>
      <c r="E91" s="7">
        <f t="shared" si="37"/>
        <v>10.055</v>
      </c>
      <c r="F91" s="7">
        <f t="shared" si="37"/>
        <v>68.34</v>
      </c>
      <c r="G91" s="7">
        <f t="shared" si="37"/>
        <v>639.12</v>
      </c>
      <c r="H91" s="7">
        <f t="shared" si="37"/>
        <v>0.14500000000000002</v>
      </c>
      <c r="I91" s="7">
        <f t="shared" si="37"/>
        <v>11.6</v>
      </c>
      <c r="J91" s="7">
        <f t="shared" si="37"/>
        <v>7.0000000000000007E-2</v>
      </c>
      <c r="K91" s="7">
        <f t="shared" si="37"/>
        <v>167.19</v>
      </c>
      <c r="L91" s="7">
        <f t="shared" si="37"/>
        <v>195.17999999999998</v>
      </c>
      <c r="M91" s="7">
        <f t="shared" si="37"/>
        <v>47.089999999999996</v>
      </c>
      <c r="N91" s="7">
        <f t="shared" si="37"/>
        <v>1.47</v>
      </c>
    </row>
    <row r="92" spans="1:15">
      <c r="A92" s="3"/>
      <c r="B92" s="3"/>
      <c r="C92" s="3"/>
      <c r="D92" s="3"/>
      <c r="E92" s="3"/>
      <c r="F92" s="3"/>
      <c r="G92" s="4"/>
      <c r="H92" s="3"/>
      <c r="I92" s="3"/>
      <c r="J92" s="3"/>
      <c r="K92" s="3"/>
      <c r="L92" s="3"/>
      <c r="M92" s="3"/>
      <c r="N92" s="3"/>
    </row>
    <row r="93" spans="1:15">
      <c r="A93" s="21" t="s">
        <v>31</v>
      </c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</row>
    <row r="94" spans="1:15" ht="47.25">
      <c r="A94" s="22" t="s">
        <v>2</v>
      </c>
      <c r="B94" s="22" t="s">
        <v>3</v>
      </c>
      <c r="C94" s="23" t="s">
        <v>4</v>
      </c>
      <c r="D94" s="22" t="s">
        <v>16</v>
      </c>
      <c r="E94" s="24"/>
      <c r="F94" s="24"/>
      <c r="G94" s="6" t="s">
        <v>5</v>
      </c>
      <c r="H94" s="22" t="s">
        <v>7</v>
      </c>
      <c r="I94" s="22"/>
      <c r="J94" s="22"/>
      <c r="K94" s="22" t="s">
        <v>8</v>
      </c>
      <c r="L94" s="22"/>
      <c r="M94" s="22"/>
      <c r="N94" s="22"/>
    </row>
    <row r="95" spans="1:15">
      <c r="A95" s="22"/>
      <c r="B95" s="22"/>
      <c r="C95" s="23"/>
      <c r="D95" s="7" t="s">
        <v>17</v>
      </c>
      <c r="E95" s="7" t="s">
        <v>18</v>
      </c>
      <c r="F95" s="7" t="s">
        <v>19</v>
      </c>
      <c r="G95" s="7" t="s">
        <v>6</v>
      </c>
      <c r="H95" s="7" t="s">
        <v>9</v>
      </c>
      <c r="I95" s="7" t="s">
        <v>10</v>
      </c>
      <c r="J95" s="7" t="s">
        <v>11</v>
      </c>
      <c r="K95" s="7" t="s">
        <v>12</v>
      </c>
      <c r="L95" s="7" t="s">
        <v>13</v>
      </c>
      <c r="M95" s="7" t="s">
        <v>14</v>
      </c>
      <c r="N95" s="7" t="s">
        <v>15</v>
      </c>
    </row>
    <row r="96" spans="1:15">
      <c r="A96" s="8" t="s">
        <v>85</v>
      </c>
      <c r="B96" s="8" t="s">
        <v>26</v>
      </c>
      <c r="C96" s="9">
        <v>100</v>
      </c>
      <c r="D96" s="9">
        <v>1.53</v>
      </c>
      <c r="E96" s="9">
        <v>5.07</v>
      </c>
      <c r="F96" s="9">
        <v>9.0299999999999994</v>
      </c>
      <c r="G96" s="7">
        <v>86.67</v>
      </c>
      <c r="H96" s="9">
        <v>0.02</v>
      </c>
      <c r="I96" s="9">
        <v>38.47</v>
      </c>
      <c r="J96" s="9">
        <v>0</v>
      </c>
      <c r="K96" s="9">
        <v>51.62</v>
      </c>
      <c r="L96" s="9">
        <v>27.03</v>
      </c>
      <c r="M96" s="9">
        <v>14.63</v>
      </c>
      <c r="N96" s="9">
        <v>0.62</v>
      </c>
    </row>
    <row r="97" spans="1:15">
      <c r="A97" s="8" t="s">
        <v>86</v>
      </c>
      <c r="B97" s="8" t="s">
        <v>89</v>
      </c>
      <c r="C97" s="9">
        <v>250</v>
      </c>
      <c r="D97" s="9">
        <v>7.2</v>
      </c>
      <c r="E97" s="9">
        <v>5.44</v>
      </c>
      <c r="F97" s="9">
        <v>20</v>
      </c>
      <c r="G97" s="7">
        <v>161</v>
      </c>
      <c r="H97" s="9">
        <v>0.17</v>
      </c>
      <c r="I97" s="9">
        <v>24</v>
      </c>
      <c r="J97" s="9">
        <v>0.02</v>
      </c>
      <c r="K97" s="9">
        <v>22.89</v>
      </c>
      <c r="L97" s="9">
        <v>126.7</v>
      </c>
      <c r="M97" s="9">
        <v>37.15</v>
      </c>
      <c r="N97" s="9">
        <v>3.77</v>
      </c>
    </row>
    <row r="98" spans="1:15">
      <c r="A98" s="8" t="s">
        <v>34</v>
      </c>
      <c r="B98" s="8" t="s">
        <v>38</v>
      </c>
      <c r="C98" s="9">
        <v>180</v>
      </c>
      <c r="D98" s="9">
        <v>4.57</v>
      </c>
      <c r="E98" s="9">
        <v>7.33</v>
      </c>
      <c r="F98" s="9">
        <v>46.33</v>
      </c>
      <c r="G98" s="7">
        <v>237.6</v>
      </c>
      <c r="H98" s="9">
        <v>0.04</v>
      </c>
      <c r="I98" s="9">
        <v>0</v>
      </c>
      <c r="J98" s="9">
        <v>0.04</v>
      </c>
      <c r="K98" s="9">
        <v>39.29</v>
      </c>
      <c r="L98" s="9">
        <v>98.74</v>
      </c>
      <c r="M98" s="9">
        <v>34.4</v>
      </c>
      <c r="N98" s="9">
        <v>0.92</v>
      </c>
    </row>
    <row r="99" spans="1:15">
      <c r="A99" s="8" t="s">
        <v>87</v>
      </c>
      <c r="B99" s="8" t="s">
        <v>90</v>
      </c>
      <c r="C99" s="9" t="s">
        <v>92</v>
      </c>
      <c r="D99" s="9">
        <v>10.86</v>
      </c>
      <c r="E99" s="9">
        <v>3.62</v>
      </c>
      <c r="F99" s="9">
        <v>14.21</v>
      </c>
      <c r="G99" s="7">
        <v>134.4</v>
      </c>
      <c r="H99" s="9">
        <v>0.1</v>
      </c>
      <c r="I99" s="9">
        <v>3.7</v>
      </c>
      <c r="J99" s="9">
        <v>0.02</v>
      </c>
      <c r="K99" s="9">
        <v>45.79</v>
      </c>
      <c r="L99" s="9">
        <v>153.9</v>
      </c>
      <c r="M99" s="9">
        <v>29.8</v>
      </c>
      <c r="N99" s="9">
        <v>0.6</v>
      </c>
    </row>
    <row r="100" spans="1:15">
      <c r="A100" s="8" t="s">
        <v>88</v>
      </c>
      <c r="B100" s="3" t="s">
        <v>91</v>
      </c>
      <c r="C100" s="9">
        <v>200</v>
      </c>
      <c r="D100" s="9">
        <v>4.2</v>
      </c>
      <c r="E100" s="9">
        <v>4.8</v>
      </c>
      <c r="F100" s="9">
        <v>7.05</v>
      </c>
      <c r="G100" s="7">
        <v>87</v>
      </c>
      <c r="H100" s="9">
        <v>0.06</v>
      </c>
      <c r="I100" s="9">
        <v>1.095</v>
      </c>
      <c r="J100" s="9">
        <v>0.03</v>
      </c>
      <c r="K100" s="9">
        <v>180</v>
      </c>
      <c r="L100" s="9">
        <v>135</v>
      </c>
      <c r="M100" s="9">
        <v>21</v>
      </c>
      <c r="N100" s="9">
        <v>0.09</v>
      </c>
    </row>
    <row r="101" spans="1:15">
      <c r="A101" s="8"/>
      <c r="B101" s="8" t="s">
        <v>28</v>
      </c>
      <c r="C101" s="9">
        <v>60</v>
      </c>
      <c r="D101" s="9">
        <v>8.58</v>
      </c>
      <c r="E101" s="9">
        <v>4.8899999999999997</v>
      </c>
      <c r="F101" s="9">
        <v>21.84</v>
      </c>
      <c r="G101" s="7">
        <v>101.34</v>
      </c>
      <c r="H101" s="9">
        <v>4.2000000000000003E-2</v>
      </c>
      <c r="I101" s="9">
        <v>4.2720000000000002</v>
      </c>
      <c r="J101" s="9">
        <v>0</v>
      </c>
      <c r="K101" s="9">
        <v>42.72</v>
      </c>
      <c r="L101" s="9">
        <v>4.68</v>
      </c>
      <c r="M101" s="9">
        <v>0.192</v>
      </c>
      <c r="N101" s="9">
        <v>0.32</v>
      </c>
    </row>
    <row r="102" spans="1:15">
      <c r="A102" s="8"/>
      <c r="B102" s="8" t="s">
        <v>40</v>
      </c>
      <c r="C102" s="9">
        <v>60</v>
      </c>
      <c r="D102" s="9">
        <v>2.8980000000000001</v>
      </c>
      <c r="E102" s="9">
        <v>0.504</v>
      </c>
      <c r="F102" s="9">
        <v>24.138000000000002</v>
      </c>
      <c r="G102" s="7">
        <v>115.56</v>
      </c>
      <c r="H102" s="9">
        <v>0.09</v>
      </c>
      <c r="I102" s="9">
        <v>0</v>
      </c>
      <c r="J102" s="9">
        <v>0</v>
      </c>
      <c r="K102" s="9">
        <v>1.3080000000000001</v>
      </c>
      <c r="L102" s="9">
        <v>13.38</v>
      </c>
      <c r="M102" s="9">
        <v>2.04</v>
      </c>
      <c r="N102" s="9">
        <v>3.4</v>
      </c>
    </row>
    <row r="103" spans="1:15" s="16" customFormat="1">
      <c r="A103" s="15" t="s">
        <v>30</v>
      </c>
      <c r="B103" s="15"/>
      <c r="C103" s="7"/>
      <c r="D103" s="7">
        <f>SUM(D96:D102)</f>
        <v>39.838000000000001</v>
      </c>
      <c r="E103" s="7">
        <f t="shared" ref="E103" si="38">SUM(E96:E102)</f>
        <v>31.654000000000007</v>
      </c>
      <c r="F103" s="7">
        <f t="shared" ref="F103" si="39">SUM(F96:F102)</f>
        <v>142.59799999999998</v>
      </c>
      <c r="G103" s="7">
        <f t="shared" ref="G103" si="40">SUM(G96:G102)</f>
        <v>923.56999999999994</v>
      </c>
      <c r="H103" s="7">
        <f t="shared" ref="H103" si="41">SUM(H96:H102)</f>
        <v>0.52200000000000002</v>
      </c>
      <c r="I103" s="7">
        <f t="shared" ref="I103" si="42">SUM(I96:I102)</f>
        <v>71.537000000000006</v>
      </c>
      <c r="J103" s="7">
        <f t="shared" ref="J103" si="43">SUM(J96:J102)</f>
        <v>0.11</v>
      </c>
      <c r="K103" s="7">
        <f t="shared" ref="K103" si="44">SUM(K96:K102)</f>
        <v>383.61799999999994</v>
      </c>
      <c r="L103" s="7">
        <f t="shared" ref="L103" si="45">SUM(L96:L102)</f>
        <v>559.42999999999995</v>
      </c>
      <c r="M103" s="7">
        <f t="shared" ref="M103" si="46">SUM(M96:M102)</f>
        <v>139.21200000000002</v>
      </c>
      <c r="N103" s="7">
        <f t="shared" ref="N103" si="47">SUM(N96:N102)</f>
        <v>9.7199999999999989</v>
      </c>
    </row>
    <row r="104" spans="1:15">
      <c r="A104" s="19" t="s">
        <v>42</v>
      </c>
      <c r="B104" s="19"/>
      <c r="C104" s="10"/>
      <c r="D104" s="10"/>
      <c r="E104" s="10"/>
      <c r="F104" s="10"/>
      <c r="G104" s="11">
        <f>G91+G103</f>
        <v>1562.69</v>
      </c>
      <c r="H104" s="10"/>
      <c r="I104" s="10"/>
      <c r="J104" s="10"/>
      <c r="K104" s="10"/>
      <c r="L104" s="10"/>
      <c r="M104" s="10"/>
      <c r="N104" s="10"/>
    </row>
    <row r="105" spans="1:15" ht="1.5" customHeight="1"/>
    <row r="106" spans="1:15" ht="1.5" customHeight="1"/>
    <row r="107" spans="1:15">
      <c r="A107" s="20" t="s">
        <v>175</v>
      </c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</row>
    <row r="108" spans="1:15">
      <c r="A108" s="20" t="s">
        <v>93</v>
      </c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</row>
    <row r="109" spans="1:15" ht="10.5" customHeight="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</row>
    <row r="110" spans="1:15">
      <c r="A110" s="21" t="s">
        <v>1</v>
      </c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</row>
    <row r="111" spans="1:15" ht="47.25">
      <c r="A111" s="22" t="s">
        <v>2</v>
      </c>
      <c r="B111" s="22" t="s">
        <v>3</v>
      </c>
      <c r="C111" s="23" t="s">
        <v>4</v>
      </c>
      <c r="D111" s="22" t="s">
        <v>16</v>
      </c>
      <c r="E111" s="24"/>
      <c r="F111" s="24"/>
      <c r="G111" s="6" t="s">
        <v>5</v>
      </c>
      <c r="H111" s="22" t="s">
        <v>7</v>
      </c>
      <c r="I111" s="22"/>
      <c r="J111" s="22"/>
      <c r="K111" s="22" t="s">
        <v>8</v>
      </c>
      <c r="L111" s="22"/>
      <c r="M111" s="22"/>
      <c r="N111" s="22"/>
      <c r="O111" s="2"/>
    </row>
    <row r="112" spans="1:15">
      <c r="A112" s="22"/>
      <c r="B112" s="22"/>
      <c r="C112" s="23"/>
      <c r="D112" s="7" t="s">
        <v>17</v>
      </c>
      <c r="E112" s="7" t="s">
        <v>18</v>
      </c>
      <c r="F112" s="7" t="s">
        <v>19</v>
      </c>
      <c r="G112" s="7" t="s">
        <v>6</v>
      </c>
      <c r="H112" s="7" t="s">
        <v>9</v>
      </c>
      <c r="I112" s="7" t="s">
        <v>10</v>
      </c>
      <c r="J112" s="7" t="s">
        <v>11</v>
      </c>
      <c r="K112" s="7" t="s">
        <v>12</v>
      </c>
      <c r="L112" s="7" t="s">
        <v>13</v>
      </c>
      <c r="M112" s="7" t="s">
        <v>14</v>
      </c>
      <c r="N112" s="7" t="s">
        <v>15</v>
      </c>
    </row>
    <row r="113" spans="1:14">
      <c r="A113" s="8" t="s">
        <v>94</v>
      </c>
      <c r="B113" s="8" t="s">
        <v>96</v>
      </c>
      <c r="C113" s="9" t="s">
        <v>99</v>
      </c>
      <c r="D113" s="9">
        <v>7.4</v>
      </c>
      <c r="E113" s="9">
        <v>13.95</v>
      </c>
      <c r="F113" s="9">
        <v>31.96</v>
      </c>
      <c r="G113" s="7">
        <v>284</v>
      </c>
      <c r="H113" s="9">
        <v>0.23</v>
      </c>
      <c r="I113" s="9">
        <v>1.23</v>
      </c>
      <c r="J113" s="9">
        <v>7.0000000000000007E-2</v>
      </c>
      <c r="K113" s="9">
        <v>141.24</v>
      </c>
      <c r="L113" s="9">
        <v>227.8</v>
      </c>
      <c r="M113" s="9">
        <v>68.760000000000005</v>
      </c>
      <c r="N113" s="9">
        <v>1.67</v>
      </c>
    </row>
    <row r="114" spans="1:14">
      <c r="A114" s="8" t="s">
        <v>95</v>
      </c>
      <c r="B114" s="8" t="s">
        <v>97</v>
      </c>
      <c r="C114" s="9">
        <v>200</v>
      </c>
      <c r="D114" s="9">
        <v>5.9</v>
      </c>
      <c r="E114" s="9">
        <v>6.75</v>
      </c>
      <c r="F114" s="9">
        <v>9.91</v>
      </c>
      <c r="G114" s="7">
        <v>122</v>
      </c>
      <c r="H114" s="9">
        <v>0.08</v>
      </c>
      <c r="I114" s="9">
        <v>2.74</v>
      </c>
      <c r="J114" s="9">
        <v>0.04</v>
      </c>
      <c r="K114" s="9">
        <v>253.2</v>
      </c>
      <c r="L114" s="9">
        <v>189.9</v>
      </c>
      <c r="M114" s="9">
        <v>29.54</v>
      </c>
      <c r="N114" s="9">
        <v>0.12</v>
      </c>
    </row>
    <row r="115" spans="1:14">
      <c r="A115" s="8" t="s">
        <v>50</v>
      </c>
      <c r="B115" s="8" t="s">
        <v>55</v>
      </c>
      <c r="C115" s="9">
        <v>100</v>
      </c>
      <c r="D115" s="9">
        <v>0.92</v>
      </c>
      <c r="E115" s="9">
        <v>0.16</v>
      </c>
      <c r="F115" s="9">
        <v>5.91</v>
      </c>
      <c r="G115" s="7">
        <v>29.33</v>
      </c>
      <c r="H115" s="9">
        <v>0.03</v>
      </c>
      <c r="I115" s="9">
        <v>28.67</v>
      </c>
      <c r="J115" s="9">
        <v>0</v>
      </c>
      <c r="K115" s="9">
        <v>28.67</v>
      </c>
      <c r="L115" s="9">
        <v>23.39</v>
      </c>
      <c r="M115" s="9">
        <v>14</v>
      </c>
      <c r="N115" s="9">
        <v>1.03</v>
      </c>
    </row>
    <row r="116" spans="1:14">
      <c r="A116" s="8"/>
      <c r="B116" s="8" t="s">
        <v>28</v>
      </c>
      <c r="C116" s="9">
        <v>50</v>
      </c>
      <c r="D116" s="9">
        <v>7.15</v>
      </c>
      <c r="E116" s="9">
        <v>4.0750000000000002</v>
      </c>
      <c r="F116" s="9">
        <v>18.2</v>
      </c>
      <c r="G116" s="7">
        <v>84.45</v>
      </c>
      <c r="H116" s="9">
        <v>3.5000000000000003E-2</v>
      </c>
      <c r="I116" s="9">
        <v>3.56</v>
      </c>
      <c r="J116" s="9">
        <v>0</v>
      </c>
      <c r="K116" s="9">
        <v>11.76</v>
      </c>
      <c r="L116" s="9">
        <v>35.6</v>
      </c>
      <c r="M116" s="9">
        <v>3.9</v>
      </c>
      <c r="N116" s="9">
        <v>0.16</v>
      </c>
    </row>
    <row r="117" spans="1:14">
      <c r="A117" s="8"/>
      <c r="B117" s="8" t="s">
        <v>98</v>
      </c>
      <c r="C117" s="9">
        <v>200</v>
      </c>
      <c r="D117" s="9">
        <v>2</v>
      </c>
      <c r="E117" s="9">
        <v>0.13</v>
      </c>
      <c r="F117" s="9">
        <v>25.3</v>
      </c>
      <c r="G117" s="7">
        <v>116</v>
      </c>
      <c r="H117" s="9">
        <v>0.08</v>
      </c>
      <c r="I117" s="9">
        <v>12</v>
      </c>
      <c r="J117" s="9">
        <v>0.1</v>
      </c>
      <c r="K117" s="9">
        <v>68</v>
      </c>
      <c r="L117" s="9">
        <v>46</v>
      </c>
      <c r="M117" s="9">
        <v>26</v>
      </c>
      <c r="N117" s="9">
        <v>0.1</v>
      </c>
    </row>
    <row r="118" spans="1:14" s="16" customFormat="1">
      <c r="A118" s="15" t="s">
        <v>30</v>
      </c>
      <c r="B118" s="15"/>
      <c r="C118" s="7"/>
      <c r="D118" s="7">
        <f t="shared" ref="D118:N118" si="48">SUM(D113:D117)</f>
        <v>23.37</v>
      </c>
      <c r="E118" s="7">
        <f t="shared" si="48"/>
        <v>25.064999999999998</v>
      </c>
      <c r="F118" s="7">
        <f t="shared" si="48"/>
        <v>91.28</v>
      </c>
      <c r="G118" s="7">
        <f t="shared" si="48"/>
        <v>635.78</v>
      </c>
      <c r="H118" s="7">
        <f t="shared" si="48"/>
        <v>0.45500000000000002</v>
      </c>
      <c r="I118" s="7">
        <f t="shared" si="48"/>
        <v>48.2</v>
      </c>
      <c r="J118" s="7">
        <f t="shared" si="48"/>
        <v>0.21000000000000002</v>
      </c>
      <c r="K118" s="7">
        <f t="shared" si="48"/>
        <v>502.87</v>
      </c>
      <c r="L118" s="7">
        <f t="shared" si="48"/>
        <v>522.69000000000005</v>
      </c>
      <c r="M118" s="7">
        <f t="shared" si="48"/>
        <v>142.20000000000002</v>
      </c>
      <c r="N118" s="7">
        <f t="shared" si="48"/>
        <v>3.0800000000000005</v>
      </c>
    </row>
    <row r="119" spans="1:14">
      <c r="A119" s="3"/>
      <c r="B119" s="3"/>
      <c r="C119" s="3"/>
      <c r="D119" s="3"/>
      <c r="E119" s="3"/>
      <c r="F119" s="3"/>
      <c r="G119" s="4"/>
      <c r="H119" s="3"/>
      <c r="I119" s="3"/>
      <c r="J119" s="3"/>
      <c r="K119" s="3"/>
      <c r="L119" s="3"/>
      <c r="M119" s="3"/>
      <c r="N119" s="3"/>
    </row>
    <row r="120" spans="1:14">
      <c r="A120" s="21" t="s">
        <v>31</v>
      </c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</row>
    <row r="121" spans="1:14" ht="47.25">
      <c r="A121" s="22" t="s">
        <v>2</v>
      </c>
      <c r="B121" s="22" t="s">
        <v>3</v>
      </c>
      <c r="C121" s="23" t="s">
        <v>4</v>
      </c>
      <c r="D121" s="22" t="s">
        <v>16</v>
      </c>
      <c r="E121" s="24"/>
      <c r="F121" s="24"/>
      <c r="G121" s="6" t="s">
        <v>5</v>
      </c>
      <c r="H121" s="22" t="s">
        <v>7</v>
      </c>
      <c r="I121" s="22"/>
      <c r="J121" s="22"/>
      <c r="K121" s="22" t="s">
        <v>8</v>
      </c>
      <c r="L121" s="22"/>
      <c r="M121" s="22"/>
      <c r="N121" s="22"/>
    </row>
    <row r="122" spans="1:14">
      <c r="A122" s="22"/>
      <c r="B122" s="22"/>
      <c r="C122" s="23"/>
      <c r="D122" s="7" t="s">
        <v>17</v>
      </c>
      <c r="E122" s="7" t="s">
        <v>18</v>
      </c>
      <c r="F122" s="7" t="s">
        <v>19</v>
      </c>
      <c r="G122" s="7" t="s">
        <v>6</v>
      </c>
      <c r="H122" s="7" t="s">
        <v>9</v>
      </c>
      <c r="I122" s="7" t="s">
        <v>10</v>
      </c>
      <c r="J122" s="7" t="s">
        <v>11</v>
      </c>
      <c r="K122" s="7" t="s">
        <v>12</v>
      </c>
      <c r="L122" s="7" t="s">
        <v>13</v>
      </c>
      <c r="M122" s="7" t="s">
        <v>14</v>
      </c>
      <c r="N122" s="7" t="s">
        <v>15</v>
      </c>
    </row>
    <row r="123" spans="1:14">
      <c r="A123" s="8" t="s">
        <v>100</v>
      </c>
      <c r="B123" s="8" t="s">
        <v>104</v>
      </c>
      <c r="C123" s="9">
        <v>100</v>
      </c>
      <c r="D123" s="9">
        <v>0.76</v>
      </c>
      <c r="E123" s="9">
        <v>0.05</v>
      </c>
      <c r="F123" s="9">
        <v>11.72</v>
      </c>
      <c r="G123" s="7">
        <v>98.33</v>
      </c>
      <c r="H123" s="9">
        <v>0.03</v>
      </c>
      <c r="I123" s="9">
        <v>10.88</v>
      </c>
      <c r="J123" s="9">
        <v>0</v>
      </c>
      <c r="K123" s="9">
        <v>36.450000000000003</v>
      </c>
      <c r="L123" s="9">
        <v>35.18</v>
      </c>
      <c r="M123" s="9">
        <v>18.079999999999998</v>
      </c>
      <c r="N123" s="9">
        <v>1.08</v>
      </c>
    </row>
    <row r="124" spans="1:14">
      <c r="A124" s="8" t="s">
        <v>101</v>
      </c>
      <c r="B124" s="8" t="s">
        <v>105</v>
      </c>
      <c r="C124" s="9">
        <v>250</v>
      </c>
      <c r="D124" s="9">
        <v>2.06</v>
      </c>
      <c r="E124" s="9">
        <v>5.27</v>
      </c>
      <c r="F124" s="9">
        <v>13.01</v>
      </c>
      <c r="G124" s="7">
        <v>108</v>
      </c>
      <c r="H124" s="9">
        <v>0.05</v>
      </c>
      <c r="I124" s="9">
        <v>20.46</v>
      </c>
      <c r="J124" s="9">
        <v>0.03</v>
      </c>
      <c r="K124" s="9">
        <v>42.89</v>
      </c>
      <c r="L124" s="9">
        <v>55.5</v>
      </c>
      <c r="M124" s="9">
        <v>22.23</v>
      </c>
      <c r="N124" s="9">
        <v>1.2</v>
      </c>
    </row>
    <row r="125" spans="1:14">
      <c r="A125" s="8" t="s">
        <v>102</v>
      </c>
      <c r="B125" s="8" t="s">
        <v>106</v>
      </c>
      <c r="C125" s="9">
        <v>180</v>
      </c>
      <c r="D125" s="9">
        <v>3.89</v>
      </c>
      <c r="E125" s="9">
        <v>6.72</v>
      </c>
      <c r="F125" s="9">
        <v>26.46</v>
      </c>
      <c r="G125" s="7">
        <v>187.2</v>
      </c>
      <c r="H125" s="9">
        <v>0.18</v>
      </c>
      <c r="I125" s="9">
        <v>31.14</v>
      </c>
      <c r="J125" s="9">
        <v>0.04</v>
      </c>
      <c r="K125" s="9">
        <v>83.4</v>
      </c>
      <c r="L125" s="9">
        <v>116.1</v>
      </c>
      <c r="M125" s="9">
        <v>41.39</v>
      </c>
      <c r="N125" s="9">
        <v>1.68</v>
      </c>
    </row>
    <row r="126" spans="1:14">
      <c r="A126" s="8" t="s">
        <v>103</v>
      </c>
      <c r="B126" s="8" t="s">
        <v>107</v>
      </c>
      <c r="C126" s="9">
        <v>100</v>
      </c>
      <c r="D126" s="9">
        <v>11.04</v>
      </c>
      <c r="E126" s="9">
        <v>6.46</v>
      </c>
      <c r="F126" s="9">
        <v>0.17</v>
      </c>
      <c r="G126" s="7">
        <v>234</v>
      </c>
      <c r="H126" s="9">
        <v>0.1</v>
      </c>
      <c r="I126" s="9">
        <v>27.48</v>
      </c>
      <c r="J126" s="9">
        <v>0</v>
      </c>
      <c r="K126" s="9">
        <v>16.8</v>
      </c>
      <c r="L126" s="9">
        <v>202.3</v>
      </c>
      <c r="M126" s="9">
        <v>34.729999999999997</v>
      </c>
      <c r="N126" s="9">
        <v>2.46</v>
      </c>
    </row>
    <row r="127" spans="1:14">
      <c r="A127" s="8" t="s">
        <v>73</v>
      </c>
      <c r="B127" s="3" t="s">
        <v>78</v>
      </c>
      <c r="C127" s="9">
        <v>200</v>
      </c>
      <c r="D127" s="9">
        <v>0</v>
      </c>
      <c r="E127" s="9">
        <v>0</v>
      </c>
      <c r="F127" s="9">
        <v>9.98</v>
      </c>
      <c r="G127" s="7">
        <v>104</v>
      </c>
      <c r="H127" s="9">
        <v>0</v>
      </c>
      <c r="I127" s="9">
        <v>0</v>
      </c>
      <c r="J127" s="9">
        <v>0</v>
      </c>
      <c r="K127" s="9">
        <v>0.2</v>
      </c>
      <c r="L127" s="9">
        <v>0</v>
      </c>
      <c r="M127" s="9">
        <v>0</v>
      </c>
      <c r="N127" s="9">
        <v>3.31</v>
      </c>
    </row>
    <row r="128" spans="1:14">
      <c r="A128" s="8"/>
      <c r="B128" s="8" t="s">
        <v>28</v>
      </c>
      <c r="C128" s="9">
        <v>60</v>
      </c>
      <c r="D128" s="9">
        <v>8.58</v>
      </c>
      <c r="E128" s="9">
        <v>4.8899999999999997</v>
      </c>
      <c r="F128" s="9">
        <v>21.84</v>
      </c>
      <c r="G128" s="7">
        <v>101.34</v>
      </c>
      <c r="H128" s="9">
        <v>4.2000000000000003E-2</v>
      </c>
      <c r="I128" s="9">
        <v>4.2720000000000002</v>
      </c>
      <c r="J128" s="9">
        <v>0</v>
      </c>
      <c r="K128" s="9">
        <v>42.72</v>
      </c>
      <c r="L128" s="9">
        <v>4.68</v>
      </c>
      <c r="M128" s="9">
        <v>0.192</v>
      </c>
      <c r="N128" s="9">
        <v>0.32</v>
      </c>
    </row>
    <row r="129" spans="1:15">
      <c r="A129" s="8"/>
      <c r="B129" s="8" t="s">
        <v>40</v>
      </c>
      <c r="C129" s="9">
        <v>60</v>
      </c>
      <c r="D129" s="9">
        <v>2.8980000000000001</v>
      </c>
      <c r="E129" s="9">
        <v>0.504</v>
      </c>
      <c r="F129" s="9">
        <v>24.138000000000002</v>
      </c>
      <c r="G129" s="7">
        <v>115.56</v>
      </c>
      <c r="H129" s="9">
        <v>0.09</v>
      </c>
      <c r="I129" s="9">
        <v>0</v>
      </c>
      <c r="J129" s="9">
        <v>0</v>
      </c>
      <c r="K129" s="9">
        <v>1.3080000000000001</v>
      </c>
      <c r="L129" s="9">
        <v>13.38</v>
      </c>
      <c r="M129" s="9">
        <v>2.04</v>
      </c>
      <c r="N129" s="9">
        <v>3.4</v>
      </c>
    </row>
    <row r="130" spans="1:15" s="16" customFormat="1">
      <c r="A130" s="15" t="s">
        <v>30</v>
      </c>
      <c r="B130" s="15"/>
      <c r="C130" s="7"/>
      <c r="D130" s="7">
        <f>SUM(D123:D129)</f>
        <v>29.227999999999998</v>
      </c>
      <c r="E130" s="7">
        <f t="shared" ref="E130" si="49">SUM(E123:E129)</f>
        <v>23.894000000000002</v>
      </c>
      <c r="F130" s="7">
        <f t="shared" ref="F130" si="50">SUM(F123:F129)</f>
        <v>107.31800000000001</v>
      </c>
      <c r="G130" s="7">
        <f t="shared" ref="G130" si="51">SUM(G123:G129)</f>
        <v>948.43000000000006</v>
      </c>
      <c r="H130" s="7">
        <f t="shared" ref="H130" si="52">SUM(H123:H129)</f>
        <v>0.49199999999999999</v>
      </c>
      <c r="I130" s="7">
        <f t="shared" ref="I130" si="53">SUM(I123:I129)</f>
        <v>94.232000000000014</v>
      </c>
      <c r="J130" s="7">
        <f t="shared" ref="J130" si="54">SUM(J123:J129)</f>
        <v>7.0000000000000007E-2</v>
      </c>
      <c r="K130" s="7">
        <f t="shared" ref="K130" si="55">SUM(K123:K129)</f>
        <v>223.768</v>
      </c>
      <c r="L130" s="7">
        <f t="shared" ref="L130" si="56">SUM(L123:L129)</f>
        <v>427.14000000000004</v>
      </c>
      <c r="M130" s="7">
        <f t="shared" ref="M130" si="57">SUM(M123:M129)</f>
        <v>118.66200000000001</v>
      </c>
      <c r="N130" s="7">
        <f t="shared" ref="N130" si="58">SUM(N123:N129)</f>
        <v>13.450000000000001</v>
      </c>
    </row>
    <row r="131" spans="1:15">
      <c r="A131" s="19" t="s">
        <v>42</v>
      </c>
      <c r="B131" s="19"/>
      <c r="C131" s="10"/>
      <c r="D131" s="10"/>
      <c r="E131" s="10"/>
      <c r="F131" s="10"/>
      <c r="G131" s="11">
        <f>G118+G130</f>
        <v>1584.21</v>
      </c>
      <c r="H131" s="10"/>
      <c r="I131" s="10"/>
      <c r="J131" s="10"/>
      <c r="K131" s="10"/>
      <c r="L131" s="10"/>
      <c r="M131" s="10"/>
      <c r="N131" s="10"/>
    </row>
    <row r="132" spans="1:15" ht="9" customHeight="1"/>
    <row r="133" spans="1:15" ht="1.5" customHeight="1"/>
    <row r="134" spans="1:15">
      <c r="A134" s="20" t="s">
        <v>175</v>
      </c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</row>
    <row r="135" spans="1:15">
      <c r="A135" s="20" t="s">
        <v>108</v>
      </c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</row>
    <row r="136" spans="1:15" ht="10.5" customHeight="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</row>
    <row r="137" spans="1:15">
      <c r="A137" s="21" t="s">
        <v>1</v>
      </c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</row>
    <row r="138" spans="1:15" ht="47.25">
      <c r="A138" s="22" t="s">
        <v>2</v>
      </c>
      <c r="B138" s="22" t="s">
        <v>3</v>
      </c>
      <c r="C138" s="23" t="s">
        <v>4</v>
      </c>
      <c r="D138" s="22" t="s">
        <v>16</v>
      </c>
      <c r="E138" s="24"/>
      <c r="F138" s="24"/>
      <c r="G138" s="6" t="s">
        <v>5</v>
      </c>
      <c r="H138" s="22" t="s">
        <v>7</v>
      </c>
      <c r="I138" s="22"/>
      <c r="J138" s="22"/>
      <c r="K138" s="22" t="s">
        <v>8</v>
      </c>
      <c r="L138" s="22"/>
      <c r="M138" s="22"/>
      <c r="N138" s="22"/>
      <c r="O138" s="2"/>
    </row>
    <row r="139" spans="1:15">
      <c r="A139" s="22"/>
      <c r="B139" s="22"/>
      <c r="C139" s="23"/>
      <c r="D139" s="7" t="s">
        <v>17</v>
      </c>
      <c r="E139" s="7" t="s">
        <v>18</v>
      </c>
      <c r="F139" s="7" t="s">
        <v>19</v>
      </c>
      <c r="G139" s="7" t="s">
        <v>6</v>
      </c>
      <c r="H139" s="7" t="s">
        <v>9</v>
      </c>
      <c r="I139" s="7" t="s">
        <v>10</v>
      </c>
      <c r="J139" s="7" t="s">
        <v>11</v>
      </c>
      <c r="K139" s="7" t="s">
        <v>12</v>
      </c>
      <c r="L139" s="7" t="s">
        <v>13</v>
      </c>
      <c r="M139" s="7" t="s">
        <v>14</v>
      </c>
      <c r="N139" s="7" t="s">
        <v>15</v>
      </c>
    </row>
    <row r="140" spans="1:15">
      <c r="A140" s="8" t="s">
        <v>20</v>
      </c>
      <c r="B140" s="8" t="s">
        <v>24</v>
      </c>
      <c r="C140" s="9">
        <v>10</v>
      </c>
      <c r="D140" s="9">
        <v>2.2999999999999998</v>
      </c>
      <c r="E140" s="9">
        <v>2.9</v>
      </c>
      <c r="F140" s="9">
        <v>0</v>
      </c>
      <c r="G140" s="7">
        <v>108</v>
      </c>
      <c r="H140" s="9">
        <v>0.01</v>
      </c>
      <c r="I140" s="9">
        <v>0.48</v>
      </c>
      <c r="J140" s="9">
        <v>7.0000000000000007E-2</v>
      </c>
      <c r="K140" s="9">
        <v>300</v>
      </c>
      <c r="L140" s="9">
        <v>162</v>
      </c>
      <c r="M140" s="9">
        <v>15</v>
      </c>
      <c r="N140" s="9">
        <v>0.33</v>
      </c>
    </row>
    <row r="141" spans="1:15">
      <c r="A141" s="8" t="s">
        <v>109</v>
      </c>
      <c r="B141" s="8" t="s">
        <v>111</v>
      </c>
      <c r="C141" s="9" t="s">
        <v>84</v>
      </c>
      <c r="D141" s="9">
        <v>5.92</v>
      </c>
      <c r="E141" s="9">
        <v>11.59</v>
      </c>
      <c r="F141" s="9">
        <v>49.44</v>
      </c>
      <c r="G141" s="7">
        <v>326</v>
      </c>
      <c r="H141" s="9">
        <v>0.08</v>
      </c>
      <c r="I141" s="9">
        <v>1.1599999999999999</v>
      </c>
      <c r="J141" s="9">
        <v>0.6</v>
      </c>
      <c r="K141" s="9">
        <v>124.4</v>
      </c>
      <c r="L141" s="9">
        <v>164</v>
      </c>
      <c r="M141" s="9">
        <v>39.83</v>
      </c>
      <c r="N141" s="9">
        <v>0.87</v>
      </c>
    </row>
    <row r="142" spans="1:15">
      <c r="A142" s="8" t="s">
        <v>110</v>
      </c>
      <c r="B142" s="8" t="s">
        <v>112</v>
      </c>
      <c r="C142" s="9">
        <v>100</v>
      </c>
      <c r="D142" s="9">
        <v>1.5</v>
      </c>
      <c r="E142" s="9">
        <v>8.5500000000000007</v>
      </c>
      <c r="F142" s="9">
        <v>9.06</v>
      </c>
      <c r="G142" s="7">
        <v>121.67</v>
      </c>
      <c r="H142" s="9">
        <v>0.05</v>
      </c>
      <c r="I142" s="9">
        <v>9.52</v>
      </c>
      <c r="J142" s="9">
        <v>0</v>
      </c>
      <c r="K142" s="9">
        <v>25.7</v>
      </c>
      <c r="L142" s="9">
        <v>48.97</v>
      </c>
      <c r="M142" s="9">
        <v>19.18</v>
      </c>
      <c r="N142" s="9">
        <v>0.65</v>
      </c>
    </row>
    <row r="143" spans="1:15">
      <c r="A143" s="8" t="s">
        <v>23</v>
      </c>
      <c r="B143" s="8" t="s">
        <v>27</v>
      </c>
      <c r="C143" s="9">
        <v>200</v>
      </c>
      <c r="D143" s="9">
        <v>0</v>
      </c>
      <c r="E143" s="9">
        <v>0</v>
      </c>
      <c r="F143" s="9">
        <v>9.98</v>
      </c>
      <c r="G143" s="7">
        <v>119</v>
      </c>
      <c r="H143" s="9">
        <v>0</v>
      </c>
      <c r="I143" s="9">
        <v>0</v>
      </c>
      <c r="J143" s="9">
        <v>0</v>
      </c>
      <c r="K143" s="9">
        <v>0.2</v>
      </c>
      <c r="L143" s="9">
        <v>0</v>
      </c>
      <c r="M143" s="9">
        <v>0</v>
      </c>
      <c r="N143" s="9">
        <v>0.03</v>
      </c>
    </row>
    <row r="144" spans="1:15">
      <c r="A144" s="8"/>
      <c r="B144" s="8" t="s">
        <v>28</v>
      </c>
      <c r="C144" s="9">
        <v>50</v>
      </c>
      <c r="D144" s="9">
        <v>7.15</v>
      </c>
      <c r="E144" s="9">
        <v>4.0750000000000002</v>
      </c>
      <c r="F144" s="9">
        <v>18.2</v>
      </c>
      <c r="G144" s="7">
        <v>84.45</v>
      </c>
      <c r="H144" s="9">
        <v>3.5000000000000003E-2</v>
      </c>
      <c r="I144" s="9">
        <v>3.56</v>
      </c>
      <c r="J144" s="9">
        <v>0</v>
      </c>
      <c r="K144" s="9">
        <v>11.76</v>
      </c>
      <c r="L144" s="9">
        <v>35.6</v>
      </c>
      <c r="M144" s="9">
        <v>3.9</v>
      </c>
      <c r="N144" s="9">
        <v>0.16</v>
      </c>
    </row>
    <row r="145" spans="1:14" s="16" customFormat="1">
      <c r="A145" s="15" t="s">
        <v>30</v>
      </c>
      <c r="B145" s="15"/>
      <c r="C145" s="7"/>
      <c r="D145" s="7">
        <f t="shared" ref="D145:N145" si="59">SUM(D140:D144)</f>
        <v>16.869999999999997</v>
      </c>
      <c r="E145" s="7">
        <f t="shared" si="59"/>
        <v>27.114999999999998</v>
      </c>
      <c r="F145" s="7">
        <f t="shared" si="59"/>
        <v>86.68</v>
      </c>
      <c r="G145" s="7">
        <f t="shared" si="59"/>
        <v>759.12</v>
      </c>
      <c r="H145" s="7">
        <f t="shared" si="59"/>
        <v>0.17500000000000002</v>
      </c>
      <c r="I145" s="7">
        <f t="shared" si="59"/>
        <v>14.72</v>
      </c>
      <c r="J145" s="7">
        <f t="shared" si="59"/>
        <v>0.66999999999999993</v>
      </c>
      <c r="K145" s="7">
        <f t="shared" si="59"/>
        <v>462.05999999999995</v>
      </c>
      <c r="L145" s="7">
        <f t="shared" si="59"/>
        <v>410.57000000000005</v>
      </c>
      <c r="M145" s="7">
        <f t="shared" si="59"/>
        <v>77.91</v>
      </c>
      <c r="N145" s="7">
        <f t="shared" si="59"/>
        <v>2.04</v>
      </c>
    </row>
    <row r="146" spans="1:14">
      <c r="A146" s="3"/>
      <c r="B146" s="3"/>
      <c r="C146" s="3"/>
      <c r="D146" s="3"/>
      <c r="E146" s="3"/>
      <c r="F146" s="3"/>
      <c r="G146" s="4"/>
      <c r="H146" s="3"/>
      <c r="I146" s="3"/>
      <c r="J146" s="3"/>
      <c r="K146" s="3"/>
      <c r="L146" s="3"/>
      <c r="M146" s="3"/>
      <c r="N146" s="3"/>
    </row>
    <row r="147" spans="1:14">
      <c r="A147" s="21" t="s">
        <v>31</v>
      </c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</row>
    <row r="148" spans="1:14" ht="47.25">
      <c r="A148" s="22" t="s">
        <v>2</v>
      </c>
      <c r="B148" s="22" t="s">
        <v>3</v>
      </c>
      <c r="C148" s="23" t="s">
        <v>4</v>
      </c>
      <c r="D148" s="22" t="s">
        <v>16</v>
      </c>
      <c r="E148" s="24"/>
      <c r="F148" s="24"/>
      <c r="G148" s="6" t="s">
        <v>5</v>
      </c>
      <c r="H148" s="22" t="s">
        <v>7</v>
      </c>
      <c r="I148" s="22"/>
      <c r="J148" s="22"/>
      <c r="K148" s="22" t="s">
        <v>8</v>
      </c>
      <c r="L148" s="22"/>
      <c r="M148" s="22"/>
      <c r="N148" s="22"/>
    </row>
    <row r="149" spans="1:14">
      <c r="A149" s="22"/>
      <c r="B149" s="22"/>
      <c r="C149" s="23"/>
      <c r="D149" s="7" t="s">
        <v>17</v>
      </c>
      <c r="E149" s="7" t="s">
        <v>18</v>
      </c>
      <c r="F149" s="7" t="s">
        <v>19</v>
      </c>
      <c r="G149" s="7" t="s">
        <v>6</v>
      </c>
      <c r="H149" s="7" t="s">
        <v>9</v>
      </c>
      <c r="I149" s="7" t="s">
        <v>10</v>
      </c>
      <c r="J149" s="7" t="s">
        <v>11</v>
      </c>
      <c r="K149" s="7" t="s">
        <v>12</v>
      </c>
      <c r="L149" s="7" t="s">
        <v>13</v>
      </c>
      <c r="M149" s="7" t="s">
        <v>14</v>
      </c>
      <c r="N149" s="7" t="s">
        <v>15</v>
      </c>
    </row>
    <row r="150" spans="1:14">
      <c r="A150" s="8" t="s">
        <v>113</v>
      </c>
      <c r="B150" s="8" t="s">
        <v>116</v>
      </c>
      <c r="C150" s="9">
        <v>100</v>
      </c>
      <c r="D150" s="9">
        <v>0.51</v>
      </c>
      <c r="E150" s="9">
        <v>3.12</v>
      </c>
      <c r="F150" s="9">
        <v>3.94</v>
      </c>
      <c r="G150" s="7">
        <v>196.67</v>
      </c>
      <c r="H150" s="9">
        <v>0.03</v>
      </c>
      <c r="I150" s="9">
        <v>6.72</v>
      </c>
      <c r="J150" s="9">
        <v>0</v>
      </c>
      <c r="K150" s="9">
        <v>21.87</v>
      </c>
      <c r="L150" s="9">
        <v>40.590000000000003</v>
      </c>
      <c r="M150" s="9">
        <v>23.28</v>
      </c>
      <c r="N150" s="9">
        <v>0.85</v>
      </c>
    </row>
    <row r="151" spans="1:14">
      <c r="A151" s="8" t="s">
        <v>114</v>
      </c>
      <c r="B151" s="8" t="s">
        <v>117</v>
      </c>
      <c r="C151" s="9">
        <v>250</v>
      </c>
      <c r="D151" s="9">
        <v>2.42</v>
      </c>
      <c r="E151" s="9">
        <v>4.3499999999999996</v>
      </c>
      <c r="F151" s="9">
        <v>15.78</v>
      </c>
      <c r="G151" s="7">
        <v>113</v>
      </c>
      <c r="H151" s="9">
        <v>0.04</v>
      </c>
      <c r="I151" s="9">
        <v>1.89</v>
      </c>
      <c r="J151" s="9">
        <v>0.02</v>
      </c>
      <c r="K151" s="9">
        <v>13.82</v>
      </c>
      <c r="L151" s="9">
        <v>30.7</v>
      </c>
      <c r="M151" s="9">
        <v>8.4700000000000006</v>
      </c>
      <c r="N151" s="9">
        <v>0.51</v>
      </c>
    </row>
    <row r="152" spans="1:14">
      <c r="A152" s="8" t="s">
        <v>71</v>
      </c>
      <c r="B152" s="8" t="s">
        <v>76</v>
      </c>
      <c r="C152" s="9">
        <v>180</v>
      </c>
      <c r="D152" s="9">
        <v>10.5</v>
      </c>
      <c r="E152" s="9">
        <v>7.94</v>
      </c>
      <c r="F152" s="9">
        <v>51.68</v>
      </c>
      <c r="G152" s="7">
        <v>324</v>
      </c>
      <c r="H152" s="9">
        <v>0.35</v>
      </c>
      <c r="I152" s="9">
        <v>0</v>
      </c>
      <c r="J152" s="9">
        <v>0</v>
      </c>
      <c r="K152" s="9">
        <v>20.69</v>
      </c>
      <c r="L152" s="9">
        <v>249</v>
      </c>
      <c r="M152" s="9">
        <v>162.9</v>
      </c>
      <c r="N152" s="9">
        <v>5.6</v>
      </c>
    </row>
    <row r="153" spans="1:14">
      <c r="A153" s="8" t="s">
        <v>115</v>
      </c>
      <c r="B153" s="8" t="s">
        <v>118</v>
      </c>
      <c r="C153" s="9" t="s">
        <v>119</v>
      </c>
      <c r="D153" s="9">
        <v>16.149999999999999</v>
      </c>
      <c r="E153" s="9">
        <v>7.02</v>
      </c>
      <c r="F153" s="9">
        <v>4.79</v>
      </c>
      <c r="G153" s="7">
        <v>147</v>
      </c>
      <c r="H153" s="9">
        <v>0.1</v>
      </c>
      <c r="I153" s="9">
        <v>3.12</v>
      </c>
      <c r="J153" s="9">
        <v>0.02</v>
      </c>
      <c r="K153" s="9">
        <v>16.93</v>
      </c>
      <c r="L153" s="9">
        <v>178.6</v>
      </c>
      <c r="M153" s="9">
        <v>25.65</v>
      </c>
      <c r="N153" s="9">
        <v>8.85</v>
      </c>
    </row>
    <row r="154" spans="1:14">
      <c r="A154" s="8" t="s">
        <v>35</v>
      </c>
      <c r="B154" s="3" t="s">
        <v>39</v>
      </c>
      <c r="C154" s="9">
        <v>200</v>
      </c>
      <c r="D154" s="9">
        <v>0.26</v>
      </c>
      <c r="E154" s="9">
        <v>0.05</v>
      </c>
      <c r="F154" s="9">
        <v>15.22</v>
      </c>
      <c r="G154" s="7">
        <v>59</v>
      </c>
      <c r="H154" s="9">
        <v>0</v>
      </c>
      <c r="I154" s="9">
        <v>2.9</v>
      </c>
      <c r="J154" s="9">
        <v>0</v>
      </c>
      <c r="K154" s="9">
        <v>8.0500000000000007</v>
      </c>
      <c r="L154" s="9">
        <v>9.7799999999999994</v>
      </c>
      <c r="M154" s="9">
        <v>5.24</v>
      </c>
      <c r="N154" s="9">
        <v>0.9</v>
      </c>
    </row>
    <row r="155" spans="1:14">
      <c r="A155" s="8"/>
      <c r="B155" s="8" t="s">
        <v>28</v>
      </c>
      <c r="C155" s="9">
        <v>60</v>
      </c>
      <c r="D155" s="9">
        <v>8.58</v>
      </c>
      <c r="E155" s="9">
        <v>4.8899999999999997</v>
      </c>
      <c r="F155" s="9">
        <v>21.84</v>
      </c>
      <c r="G155" s="7">
        <v>101.34</v>
      </c>
      <c r="H155" s="9">
        <v>4.2000000000000003E-2</v>
      </c>
      <c r="I155" s="9">
        <v>4.2720000000000002</v>
      </c>
      <c r="J155" s="9">
        <v>0</v>
      </c>
      <c r="K155" s="9">
        <v>42.72</v>
      </c>
      <c r="L155" s="9">
        <v>4.68</v>
      </c>
      <c r="M155" s="9">
        <v>0.192</v>
      </c>
      <c r="N155" s="9">
        <v>0.32</v>
      </c>
    </row>
    <row r="156" spans="1:14">
      <c r="A156" s="8"/>
      <c r="B156" s="8" t="s">
        <v>40</v>
      </c>
      <c r="C156" s="9">
        <v>60</v>
      </c>
      <c r="D156" s="9">
        <v>2.8980000000000001</v>
      </c>
      <c r="E156" s="9">
        <v>0.504</v>
      </c>
      <c r="F156" s="9">
        <v>24.138000000000002</v>
      </c>
      <c r="G156" s="7">
        <v>115.56</v>
      </c>
      <c r="H156" s="9">
        <v>0.09</v>
      </c>
      <c r="I156" s="9">
        <v>0</v>
      </c>
      <c r="J156" s="9">
        <v>0</v>
      </c>
      <c r="K156" s="9">
        <v>1.3080000000000001</v>
      </c>
      <c r="L156" s="9">
        <v>13.38</v>
      </c>
      <c r="M156" s="9">
        <v>2.04</v>
      </c>
      <c r="N156" s="9">
        <v>3.4</v>
      </c>
    </row>
    <row r="157" spans="1:14" s="16" customFormat="1">
      <c r="A157" s="15" t="s">
        <v>30</v>
      </c>
      <c r="B157" s="15"/>
      <c r="C157" s="7"/>
      <c r="D157" s="7">
        <f>SUM(D150:D156)</f>
        <v>41.318000000000005</v>
      </c>
      <c r="E157" s="7">
        <f t="shared" ref="E157" si="60">SUM(E150:E156)</f>
        <v>27.874000000000002</v>
      </c>
      <c r="F157" s="7">
        <f t="shared" ref="F157" si="61">SUM(F150:F156)</f>
        <v>137.38800000000001</v>
      </c>
      <c r="G157" s="7">
        <f t="shared" ref="G157" si="62">SUM(G150:G156)</f>
        <v>1056.57</v>
      </c>
      <c r="H157" s="7">
        <f t="shared" ref="H157" si="63">SUM(H150:H156)</f>
        <v>0.65200000000000002</v>
      </c>
      <c r="I157" s="7">
        <f t="shared" ref="I157" si="64">SUM(I150:I156)</f>
        <v>18.902000000000001</v>
      </c>
      <c r="J157" s="7">
        <f t="shared" ref="J157" si="65">SUM(J150:J156)</f>
        <v>0.04</v>
      </c>
      <c r="K157" s="7">
        <f t="shared" ref="K157" si="66">SUM(K150:K156)</f>
        <v>125.38800000000001</v>
      </c>
      <c r="L157" s="7">
        <f t="shared" ref="L157" si="67">SUM(L150:L156)</f>
        <v>526.7299999999999</v>
      </c>
      <c r="M157" s="7">
        <f t="shared" ref="M157" si="68">SUM(M150:M156)</f>
        <v>227.77200000000002</v>
      </c>
      <c r="N157" s="7">
        <f t="shared" ref="N157" si="69">SUM(N150:N156)</f>
        <v>20.429999999999996</v>
      </c>
    </row>
    <row r="158" spans="1:14">
      <c r="A158" s="19" t="s">
        <v>42</v>
      </c>
      <c r="B158" s="19"/>
      <c r="C158" s="10"/>
      <c r="D158" s="10"/>
      <c r="E158" s="10"/>
      <c r="F158" s="10"/>
      <c r="G158" s="11">
        <f>G145+G157</f>
        <v>1815.69</v>
      </c>
      <c r="H158" s="10"/>
      <c r="I158" s="10"/>
      <c r="J158" s="10"/>
      <c r="K158" s="10"/>
      <c r="L158" s="10"/>
      <c r="M158" s="10"/>
      <c r="N158" s="10"/>
    </row>
    <row r="159" spans="1:14" hidden="1"/>
    <row r="160" spans="1:14" hidden="1"/>
    <row r="161" spans="1:15">
      <c r="A161" s="20" t="s">
        <v>175</v>
      </c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</row>
    <row r="162" spans="1:15">
      <c r="A162" s="20" t="s">
        <v>120</v>
      </c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</row>
    <row r="163" spans="1:15" ht="10.5" customHeight="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</row>
    <row r="164" spans="1:15">
      <c r="A164" s="21" t="s">
        <v>1</v>
      </c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</row>
    <row r="165" spans="1:15" ht="47.25">
      <c r="A165" s="22" t="s">
        <v>2</v>
      </c>
      <c r="B165" s="22" t="s">
        <v>3</v>
      </c>
      <c r="C165" s="23" t="s">
        <v>4</v>
      </c>
      <c r="D165" s="22" t="s">
        <v>16</v>
      </c>
      <c r="E165" s="24"/>
      <c r="F165" s="24"/>
      <c r="G165" s="6" t="s">
        <v>5</v>
      </c>
      <c r="H165" s="22" t="s">
        <v>7</v>
      </c>
      <c r="I165" s="22"/>
      <c r="J165" s="22"/>
      <c r="K165" s="22" t="s">
        <v>8</v>
      </c>
      <c r="L165" s="22"/>
      <c r="M165" s="22"/>
      <c r="N165" s="22"/>
      <c r="O165" s="2"/>
    </row>
    <row r="166" spans="1:15">
      <c r="A166" s="22"/>
      <c r="B166" s="22"/>
      <c r="C166" s="23"/>
      <c r="D166" s="7" t="s">
        <v>17</v>
      </c>
      <c r="E166" s="7" t="s">
        <v>18</v>
      </c>
      <c r="F166" s="7" t="s">
        <v>19</v>
      </c>
      <c r="G166" s="7" t="s">
        <v>6</v>
      </c>
      <c r="H166" s="7" t="s">
        <v>9</v>
      </c>
      <c r="I166" s="7" t="s">
        <v>10</v>
      </c>
      <c r="J166" s="7" t="s">
        <v>11</v>
      </c>
      <c r="K166" s="7" t="s">
        <v>12</v>
      </c>
      <c r="L166" s="7" t="s">
        <v>13</v>
      </c>
      <c r="M166" s="7" t="s">
        <v>14</v>
      </c>
      <c r="N166" s="7" t="s">
        <v>15</v>
      </c>
    </row>
    <row r="167" spans="1:15">
      <c r="A167" s="8" t="s">
        <v>121</v>
      </c>
      <c r="B167" s="8" t="s">
        <v>122</v>
      </c>
      <c r="C167" s="9" t="s">
        <v>84</v>
      </c>
      <c r="D167" s="9">
        <v>7.4</v>
      </c>
      <c r="E167" s="9">
        <v>5.88</v>
      </c>
      <c r="F167" s="9">
        <v>31.96</v>
      </c>
      <c r="G167" s="7">
        <v>284</v>
      </c>
      <c r="H167" s="9">
        <v>0.23</v>
      </c>
      <c r="I167" s="9">
        <v>1.23</v>
      </c>
      <c r="J167" s="9">
        <v>7.0000000000000007E-2</v>
      </c>
      <c r="K167" s="9">
        <v>141.24</v>
      </c>
      <c r="L167" s="9">
        <v>227.8</v>
      </c>
      <c r="M167" s="9">
        <v>68.760000000000005</v>
      </c>
      <c r="N167" s="9">
        <v>1.67</v>
      </c>
    </row>
    <row r="168" spans="1:15">
      <c r="A168" s="8" t="s">
        <v>22</v>
      </c>
      <c r="B168" s="8" t="s">
        <v>26</v>
      </c>
      <c r="C168" s="9">
        <v>100</v>
      </c>
      <c r="D168" s="9">
        <v>1.5629999999999999</v>
      </c>
      <c r="E168" s="9">
        <v>5.07</v>
      </c>
      <c r="F168" s="9">
        <v>9.0299999999999994</v>
      </c>
      <c r="G168" s="7">
        <v>86.67</v>
      </c>
      <c r="H168" s="9">
        <v>0.02</v>
      </c>
      <c r="I168" s="9">
        <v>38.47</v>
      </c>
      <c r="J168" s="9">
        <v>0</v>
      </c>
      <c r="K168" s="9">
        <v>51.62</v>
      </c>
      <c r="L168" s="9">
        <v>27.03</v>
      </c>
      <c r="M168" s="9">
        <v>14.63</v>
      </c>
      <c r="N168" s="9">
        <v>0.62</v>
      </c>
    </row>
    <row r="169" spans="1:15">
      <c r="A169" s="8" t="s">
        <v>45</v>
      </c>
      <c r="B169" s="8" t="s">
        <v>123</v>
      </c>
      <c r="C169" s="9">
        <v>200</v>
      </c>
      <c r="D169" s="9">
        <v>1.4</v>
      </c>
      <c r="E169" s="5">
        <v>1.6</v>
      </c>
      <c r="F169" s="5">
        <v>22.31</v>
      </c>
      <c r="G169" s="7">
        <v>105</v>
      </c>
      <c r="H169" s="9">
        <v>0.02</v>
      </c>
      <c r="I169" s="9">
        <v>0.65</v>
      </c>
      <c r="J169" s="9">
        <v>0.01</v>
      </c>
      <c r="K169" s="9">
        <v>6.4</v>
      </c>
      <c r="L169" s="9">
        <v>45</v>
      </c>
      <c r="M169" s="9">
        <v>7</v>
      </c>
      <c r="N169" s="9">
        <v>0.09</v>
      </c>
    </row>
    <row r="170" spans="1:15">
      <c r="A170" s="8"/>
      <c r="B170" s="8" t="s">
        <v>28</v>
      </c>
      <c r="C170" s="9">
        <v>50</v>
      </c>
      <c r="D170" s="9">
        <v>7.15</v>
      </c>
      <c r="E170" s="9">
        <v>4.0750000000000002</v>
      </c>
      <c r="F170" s="9">
        <v>18.2</v>
      </c>
      <c r="G170" s="7">
        <v>84.45</v>
      </c>
      <c r="H170" s="9">
        <v>3.5000000000000003E-2</v>
      </c>
      <c r="I170" s="9">
        <v>3.56</v>
      </c>
      <c r="J170" s="9">
        <v>0</v>
      </c>
      <c r="K170" s="9">
        <v>11.76</v>
      </c>
      <c r="L170" s="9">
        <v>35.6</v>
      </c>
      <c r="M170" s="9">
        <v>3.9</v>
      </c>
      <c r="N170" s="9">
        <v>0.16</v>
      </c>
    </row>
    <row r="171" spans="1:15" s="16" customFormat="1">
      <c r="A171" s="15" t="s">
        <v>30</v>
      </c>
      <c r="B171" s="15"/>
      <c r="C171" s="7"/>
      <c r="D171" s="7">
        <f t="shared" ref="D171:N171" si="70">SUM(D167:D170)</f>
        <v>17.513000000000002</v>
      </c>
      <c r="E171" s="7">
        <f t="shared" si="70"/>
        <v>16.625</v>
      </c>
      <c r="F171" s="7">
        <f t="shared" si="70"/>
        <v>81.5</v>
      </c>
      <c r="G171" s="7">
        <f t="shared" si="70"/>
        <v>560.12</v>
      </c>
      <c r="H171" s="7">
        <f t="shared" si="70"/>
        <v>0.30500000000000005</v>
      </c>
      <c r="I171" s="7">
        <f t="shared" si="70"/>
        <v>43.91</v>
      </c>
      <c r="J171" s="7">
        <f t="shared" si="70"/>
        <v>0.08</v>
      </c>
      <c r="K171" s="7">
        <f t="shared" si="70"/>
        <v>211.02</v>
      </c>
      <c r="L171" s="7">
        <f t="shared" si="70"/>
        <v>335.43000000000006</v>
      </c>
      <c r="M171" s="7">
        <f t="shared" si="70"/>
        <v>94.29</v>
      </c>
      <c r="N171" s="7">
        <f t="shared" si="70"/>
        <v>2.54</v>
      </c>
    </row>
    <row r="172" spans="1:15">
      <c r="A172" s="3"/>
      <c r="B172" s="3"/>
      <c r="C172" s="3"/>
      <c r="D172" s="3"/>
      <c r="E172" s="3"/>
      <c r="F172" s="3"/>
      <c r="G172" s="4"/>
      <c r="H172" s="3"/>
      <c r="I172" s="3"/>
      <c r="J172" s="3"/>
      <c r="K172" s="3"/>
      <c r="L172" s="3"/>
      <c r="M172" s="3"/>
      <c r="N172" s="3"/>
    </row>
    <row r="173" spans="1:15">
      <c r="A173" s="21" t="s">
        <v>31</v>
      </c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</row>
    <row r="174" spans="1:15" ht="47.25">
      <c r="A174" s="22" t="s">
        <v>2</v>
      </c>
      <c r="B174" s="22" t="s">
        <v>3</v>
      </c>
      <c r="C174" s="23" t="s">
        <v>4</v>
      </c>
      <c r="D174" s="22" t="s">
        <v>16</v>
      </c>
      <c r="E174" s="24"/>
      <c r="F174" s="24"/>
      <c r="G174" s="6" t="s">
        <v>5</v>
      </c>
      <c r="H174" s="22" t="s">
        <v>7</v>
      </c>
      <c r="I174" s="22"/>
      <c r="J174" s="22"/>
      <c r="K174" s="22" t="s">
        <v>8</v>
      </c>
      <c r="L174" s="22"/>
      <c r="M174" s="22"/>
      <c r="N174" s="22"/>
    </row>
    <row r="175" spans="1:15">
      <c r="A175" s="22"/>
      <c r="B175" s="22"/>
      <c r="C175" s="23"/>
      <c r="D175" s="7" t="s">
        <v>17</v>
      </c>
      <c r="E175" s="7" t="s">
        <v>18</v>
      </c>
      <c r="F175" s="7" t="s">
        <v>19</v>
      </c>
      <c r="G175" s="7" t="s">
        <v>6</v>
      </c>
      <c r="H175" s="7" t="s">
        <v>9</v>
      </c>
      <c r="I175" s="7" t="s">
        <v>10</v>
      </c>
      <c r="J175" s="7" t="s">
        <v>11</v>
      </c>
      <c r="K175" s="7" t="s">
        <v>12</v>
      </c>
      <c r="L175" s="7" t="s">
        <v>13</v>
      </c>
      <c r="M175" s="7" t="s">
        <v>14</v>
      </c>
      <c r="N175" s="7" t="s">
        <v>15</v>
      </c>
    </row>
    <row r="176" spans="1:15">
      <c r="A176" s="8" t="s">
        <v>124</v>
      </c>
      <c r="B176" s="8" t="s">
        <v>128</v>
      </c>
      <c r="C176" s="9">
        <v>100</v>
      </c>
      <c r="D176" s="9">
        <v>0.83</v>
      </c>
      <c r="E176" s="9">
        <v>0.04</v>
      </c>
      <c r="F176" s="9">
        <v>9.44</v>
      </c>
      <c r="G176" s="7">
        <v>158.33000000000001</v>
      </c>
      <c r="H176" s="9">
        <v>0.08</v>
      </c>
      <c r="I176" s="9">
        <v>14.03</v>
      </c>
      <c r="J176" s="9">
        <v>0.03</v>
      </c>
      <c r="K176" s="9">
        <v>31.57</v>
      </c>
      <c r="L176" s="9">
        <v>74.83</v>
      </c>
      <c r="M176" s="9">
        <v>23.68</v>
      </c>
      <c r="N176" s="9">
        <v>1.02</v>
      </c>
    </row>
    <row r="177" spans="1:15">
      <c r="A177" s="8" t="s">
        <v>125</v>
      </c>
      <c r="B177" s="8" t="s">
        <v>129</v>
      </c>
      <c r="C177" s="9">
        <v>250</v>
      </c>
      <c r="D177" s="9">
        <v>7.42</v>
      </c>
      <c r="E177" s="9">
        <v>4.76</v>
      </c>
      <c r="F177" s="9">
        <v>20</v>
      </c>
      <c r="G177" s="7">
        <v>156</v>
      </c>
      <c r="H177" s="9">
        <v>0.17</v>
      </c>
      <c r="I177" s="9">
        <v>24.3</v>
      </c>
      <c r="J177" s="9">
        <v>0.03</v>
      </c>
      <c r="K177" s="9">
        <v>28.59</v>
      </c>
      <c r="L177" s="9">
        <v>141.6</v>
      </c>
      <c r="M177" s="9">
        <v>40.299999999999997</v>
      </c>
      <c r="N177" s="9">
        <v>1.37</v>
      </c>
    </row>
    <row r="178" spans="1:15">
      <c r="A178" s="8" t="s">
        <v>34</v>
      </c>
      <c r="B178" s="8" t="s">
        <v>106</v>
      </c>
      <c r="C178" s="9">
        <v>180</v>
      </c>
      <c r="D178" s="9">
        <v>3.89</v>
      </c>
      <c r="E178" s="9">
        <v>6.72</v>
      </c>
      <c r="F178" s="9">
        <v>26.46</v>
      </c>
      <c r="G178" s="7">
        <v>187.2</v>
      </c>
      <c r="H178" s="9">
        <v>0.18</v>
      </c>
      <c r="I178" s="9">
        <v>34.14</v>
      </c>
      <c r="J178" s="9">
        <v>0.04</v>
      </c>
      <c r="K178" s="9">
        <v>83.4</v>
      </c>
      <c r="L178" s="9">
        <v>116</v>
      </c>
      <c r="M178" s="9">
        <v>41.39</v>
      </c>
      <c r="N178" s="9">
        <v>1.68</v>
      </c>
    </row>
    <row r="179" spans="1:15">
      <c r="A179" s="8" t="s">
        <v>126</v>
      </c>
      <c r="B179" s="8" t="s">
        <v>130</v>
      </c>
      <c r="C179" s="9">
        <v>100</v>
      </c>
      <c r="D179" s="9">
        <v>0.01</v>
      </c>
      <c r="E179" s="9">
        <v>1.65</v>
      </c>
      <c r="F179" s="9">
        <v>0.01</v>
      </c>
      <c r="G179" s="7">
        <v>260</v>
      </c>
      <c r="H179" s="9">
        <v>0.09</v>
      </c>
      <c r="I179" s="9">
        <v>8</v>
      </c>
      <c r="J179" s="9">
        <v>0.08</v>
      </c>
      <c r="K179" s="9">
        <v>31.51</v>
      </c>
      <c r="L179" s="9">
        <v>149</v>
      </c>
      <c r="M179" s="9">
        <v>30.66</v>
      </c>
      <c r="N179" s="9">
        <v>1.69</v>
      </c>
    </row>
    <row r="180" spans="1:15">
      <c r="A180" s="8" t="s">
        <v>127</v>
      </c>
      <c r="B180" s="3" t="s">
        <v>131</v>
      </c>
      <c r="C180" s="9">
        <v>200</v>
      </c>
      <c r="D180" s="9">
        <v>0.21</v>
      </c>
      <c r="E180" s="9">
        <v>0.21</v>
      </c>
      <c r="F180" s="9">
        <v>15.27</v>
      </c>
      <c r="G180" s="7">
        <v>62</v>
      </c>
      <c r="H180" s="9">
        <v>0.01</v>
      </c>
      <c r="I180" s="9">
        <v>8.91</v>
      </c>
      <c r="J180" s="9">
        <v>0</v>
      </c>
      <c r="K180" s="9">
        <v>8.84</v>
      </c>
      <c r="L180" s="9">
        <v>5.94</v>
      </c>
      <c r="M180" s="9">
        <v>4.8899999999999997</v>
      </c>
      <c r="N180" s="9">
        <v>1.21</v>
      </c>
    </row>
    <row r="181" spans="1:15">
      <c r="A181" s="8"/>
      <c r="B181" s="8" t="s">
        <v>28</v>
      </c>
      <c r="C181" s="9">
        <v>60</v>
      </c>
      <c r="D181" s="9">
        <v>8.58</v>
      </c>
      <c r="E181" s="9">
        <v>4.8899999999999997</v>
      </c>
      <c r="F181" s="9">
        <v>21.84</v>
      </c>
      <c r="G181" s="7">
        <v>101.34</v>
      </c>
      <c r="H181" s="9">
        <v>4.2000000000000003E-2</v>
      </c>
      <c r="I181" s="9">
        <v>4.2720000000000002</v>
      </c>
      <c r="J181" s="9">
        <v>0</v>
      </c>
      <c r="K181" s="9">
        <v>42.72</v>
      </c>
      <c r="L181" s="9">
        <v>4.63</v>
      </c>
      <c r="M181" s="9">
        <v>0.192</v>
      </c>
      <c r="N181" s="9">
        <v>0.32</v>
      </c>
    </row>
    <row r="182" spans="1:15">
      <c r="A182" s="8"/>
      <c r="B182" s="8" t="s">
        <v>40</v>
      </c>
      <c r="C182" s="9">
        <v>60</v>
      </c>
      <c r="D182" s="9">
        <v>2.8980000000000001</v>
      </c>
      <c r="E182" s="9">
        <v>0.504</v>
      </c>
      <c r="F182" s="9">
        <v>24.138000000000002</v>
      </c>
      <c r="G182" s="7">
        <v>115.56</v>
      </c>
      <c r="H182" s="9">
        <v>0.09</v>
      </c>
      <c r="I182" s="9">
        <v>0</v>
      </c>
      <c r="J182" s="9">
        <v>0</v>
      </c>
      <c r="K182" s="9">
        <v>1.3080000000000001</v>
      </c>
      <c r="L182" s="9">
        <v>13.38</v>
      </c>
      <c r="M182" s="9">
        <v>2.04</v>
      </c>
      <c r="N182" s="9">
        <v>3.4</v>
      </c>
    </row>
    <row r="183" spans="1:15" s="16" customFormat="1">
      <c r="A183" s="15" t="s">
        <v>30</v>
      </c>
      <c r="B183" s="15"/>
      <c r="C183" s="7"/>
      <c r="D183" s="7">
        <f>SUM(D176:D182)</f>
        <v>23.838000000000001</v>
      </c>
      <c r="E183" s="7">
        <f t="shared" ref="E183" si="71">SUM(E176:E182)</f>
        <v>18.774000000000001</v>
      </c>
      <c r="F183" s="7">
        <f t="shared" ref="F183" si="72">SUM(F176:F182)</f>
        <v>117.158</v>
      </c>
      <c r="G183" s="7">
        <f t="shared" ref="G183" si="73">SUM(G176:G182)</f>
        <v>1040.43</v>
      </c>
      <c r="H183" s="7">
        <f t="shared" ref="H183" si="74">SUM(H176:H182)</f>
        <v>0.66200000000000003</v>
      </c>
      <c r="I183" s="7">
        <f t="shared" ref="I183" si="75">SUM(I176:I182)</f>
        <v>93.652000000000001</v>
      </c>
      <c r="J183" s="7">
        <f t="shared" ref="J183" si="76">SUM(J176:J182)</f>
        <v>0.18</v>
      </c>
      <c r="K183" s="7">
        <f t="shared" ref="K183" si="77">SUM(K176:K182)</f>
        <v>227.93799999999999</v>
      </c>
      <c r="L183" s="7">
        <f t="shared" ref="L183" si="78">SUM(L176:L182)</f>
        <v>505.38</v>
      </c>
      <c r="M183" s="7">
        <f t="shared" ref="M183" si="79">SUM(M176:M182)</f>
        <v>143.15199999999999</v>
      </c>
      <c r="N183" s="7">
        <f t="shared" ref="N183" si="80">SUM(N176:N182)</f>
        <v>10.69</v>
      </c>
    </row>
    <row r="184" spans="1:15">
      <c r="A184" s="19" t="s">
        <v>42</v>
      </c>
      <c r="B184" s="19"/>
      <c r="C184" s="10"/>
      <c r="D184" s="10"/>
      <c r="E184" s="10"/>
      <c r="F184" s="10"/>
      <c r="G184" s="15">
        <f>G171+G183</f>
        <v>1600.5500000000002</v>
      </c>
      <c r="H184" s="8"/>
      <c r="I184" s="10"/>
      <c r="J184" s="10"/>
      <c r="K184" s="10"/>
      <c r="L184" s="10"/>
      <c r="M184" s="10"/>
      <c r="N184" s="10"/>
    </row>
    <row r="185" spans="1:15" hidden="1"/>
    <row r="186" spans="1:15" hidden="1"/>
    <row r="187" spans="1:15">
      <c r="A187" s="20" t="s">
        <v>175</v>
      </c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</row>
    <row r="188" spans="1:15">
      <c r="A188" s="20" t="s">
        <v>132</v>
      </c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</row>
    <row r="189" spans="1:15" ht="10.5" customHeight="1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</row>
    <row r="190" spans="1:15">
      <c r="A190" s="21" t="s">
        <v>1</v>
      </c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</row>
    <row r="191" spans="1:15" ht="47.25">
      <c r="A191" s="22" t="s">
        <v>2</v>
      </c>
      <c r="B191" s="22" t="s">
        <v>3</v>
      </c>
      <c r="C191" s="23" t="s">
        <v>4</v>
      </c>
      <c r="D191" s="22" t="s">
        <v>16</v>
      </c>
      <c r="E191" s="24"/>
      <c r="F191" s="24"/>
      <c r="G191" s="6" t="s">
        <v>5</v>
      </c>
      <c r="H191" s="22" t="s">
        <v>7</v>
      </c>
      <c r="I191" s="22"/>
      <c r="J191" s="22"/>
      <c r="K191" s="22" t="s">
        <v>8</v>
      </c>
      <c r="L191" s="22"/>
      <c r="M191" s="22"/>
      <c r="N191" s="22"/>
      <c r="O191" s="2"/>
    </row>
    <row r="192" spans="1:15">
      <c r="A192" s="22"/>
      <c r="B192" s="22"/>
      <c r="C192" s="23"/>
      <c r="D192" s="7" t="s">
        <v>17</v>
      </c>
      <c r="E192" s="7" t="s">
        <v>18</v>
      </c>
      <c r="F192" s="7" t="s">
        <v>19</v>
      </c>
      <c r="G192" s="7" t="s">
        <v>6</v>
      </c>
      <c r="H192" s="7" t="s">
        <v>9</v>
      </c>
      <c r="I192" s="7" t="s">
        <v>10</v>
      </c>
      <c r="J192" s="7" t="s">
        <v>11</v>
      </c>
      <c r="K192" s="7" t="s">
        <v>12</v>
      </c>
      <c r="L192" s="7" t="s">
        <v>13</v>
      </c>
      <c r="M192" s="7" t="s">
        <v>14</v>
      </c>
      <c r="N192" s="7" t="s">
        <v>15</v>
      </c>
    </row>
    <row r="193" spans="1:14">
      <c r="A193" s="8" t="s">
        <v>133</v>
      </c>
      <c r="B193" s="8" t="s">
        <v>135</v>
      </c>
      <c r="C193" s="9" t="s">
        <v>68</v>
      </c>
      <c r="D193" s="9">
        <v>38.51</v>
      </c>
      <c r="E193" s="9">
        <v>29.48</v>
      </c>
      <c r="F193" s="9">
        <v>64.510000000000005</v>
      </c>
      <c r="G193" s="7">
        <v>678</v>
      </c>
      <c r="H193" s="9">
        <v>0.15</v>
      </c>
      <c r="I193" s="9">
        <v>1.55</v>
      </c>
      <c r="J193" s="9">
        <v>0.19</v>
      </c>
      <c r="K193" s="9">
        <v>508.36</v>
      </c>
      <c r="L193" s="9">
        <v>577</v>
      </c>
      <c r="M193" s="9">
        <v>70.27</v>
      </c>
      <c r="N193" s="9">
        <v>1.44</v>
      </c>
    </row>
    <row r="194" spans="1:14">
      <c r="A194" s="8" t="s">
        <v>134</v>
      </c>
      <c r="B194" s="8" t="s">
        <v>65</v>
      </c>
      <c r="C194" s="9" t="s">
        <v>41</v>
      </c>
      <c r="D194" s="9">
        <v>0.2</v>
      </c>
      <c r="E194" s="9">
        <v>0.05</v>
      </c>
      <c r="F194" s="9">
        <v>15.01</v>
      </c>
      <c r="G194" s="7">
        <v>57</v>
      </c>
      <c r="H194" s="9">
        <v>0</v>
      </c>
      <c r="I194" s="9">
        <v>0.1</v>
      </c>
      <c r="J194" s="9">
        <v>0</v>
      </c>
      <c r="K194" s="9">
        <v>5.25</v>
      </c>
      <c r="L194" s="9">
        <v>8.24</v>
      </c>
      <c r="M194" s="9">
        <v>4.4000000000000004</v>
      </c>
      <c r="N194" s="9">
        <v>0.86</v>
      </c>
    </row>
    <row r="195" spans="1:14">
      <c r="A195" s="8" t="s">
        <v>50</v>
      </c>
      <c r="B195" s="8" t="s">
        <v>55</v>
      </c>
      <c r="C195" s="9">
        <v>100</v>
      </c>
      <c r="D195" s="9">
        <v>0.92</v>
      </c>
      <c r="E195" s="9">
        <v>0.16</v>
      </c>
      <c r="F195" s="9">
        <v>5.91</v>
      </c>
      <c r="G195" s="7">
        <v>29.33</v>
      </c>
      <c r="H195" s="9">
        <v>0.03</v>
      </c>
      <c r="I195" s="9">
        <v>28.67</v>
      </c>
      <c r="J195" s="9">
        <v>0</v>
      </c>
      <c r="K195" s="9">
        <v>28.67</v>
      </c>
      <c r="L195" s="9">
        <v>23.39</v>
      </c>
      <c r="M195" s="9">
        <v>14</v>
      </c>
      <c r="N195" s="9">
        <v>1.03</v>
      </c>
    </row>
    <row r="196" spans="1:14">
      <c r="A196" s="8"/>
      <c r="B196" s="8" t="s">
        <v>28</v>
      </c>
      <c r="C196" s="9">
        <v>50</v>
      </c>
      <c r="D196" s="9">
        <v>7.15</v>
      </c>
      <c r="E196" s="9">
        <v>4.0750000000000002</v>
      </c>
      <c r="F196" s="9">
        <v>18.2</v>
      </c>
      <c r="G196" s="7">
        <v>84.45</v>
      </c>
      <c r="H196" s="9">
        <v>3.5000000000000003E-2</v>
      </c>
      <c r="I196" s="9">
        <v>3.56</v>
      </c>
      <c r="J196" s="9">
        <v>0</v>
      </c>
      <c r="K196" s="9">
        <v>11.76</v>
      </c>
      <c r="L196" s="9">
        <v>35.6</v>
      </c>
      <c r="M196" s="9">
        <v>3.9</v>
      </c>
      <c r="N196" s="9">
        <v>0.16</v>
      </c>
    </row>
    <row r="197" spans="1:14" s="16" customFormat="1">
      <c r="A197" s="15" t="s">
        <v>30</v>
      </c>
      <c r="B197" s="15"/>
      <c r="C197" s="7"/>
      <c r="D197" s="7">
        <f t="shared" ref="D197:N197" si="81">SUM(D193:D196)</f>
        <v>46.78</v>
      </c>
      <c r="E197" s="7">
        <f t="shared" si="81"/>
        <v>33.765000000000001</v>
      </c>
      <c r="F197" s="7">
        <f t="shared" si="81"/>
        <v>103.63000000000001</v>
      </c>
      <c r="G197" s="7">
        <f t="shared" si="81"/>
        <v>848.78000000000009</v>
      </c>
      <c r="H197" s="7">
        <f t="shared" si="81"/>
        <v>0.215</v>
      </c>
      <c r="I197" s="7">
        <f t="shared" si="81"/>
        <v>33.880000000000003</v>
      </c>
      <c r="J197" s="7">
        <f t="shared" si="81"/>
        <v>0.19</v>
      </c>
      <c r="K197" s="7">
        <f t="shared" si="81"/>
        <v>554.04</v>
      </c>
      <c r="L197" s="7">
        <f t="shared" si="81"/>
        <v>644.23</v>
      </c>
      <c r="M197" s="7">
        <f t="shared" si="81"/>
        <v>92.570000000000007</v>
      </c>
      <c r="N197" s="7">
        <f t="shared" si="81"/>
        <v>3.49</v>
      </c>
    </row>
    <row r="198" spans="1:14">
      <c r="A198" s="3"/>
      <c r="B198" s="3"/>
      <c r="C198" s="3"/>
      <c r="D198" s="3"/>
      <c r="E198" s="3"/>
      <c r="F198" s="3"/>
      <c r="G198" s="4"/>
      <c r="H198" s="3"/>
      <c r="I198" s="3"/>
      <c r="J198" s="3"/>
      <c r="K198" s="3"/>
      <c r="L198" s="3"/>
      <c r="M198" s="3"/>
      <c r="N198" s="3"/>
    </row>
    <row r="199" spans="1:14">
      <c r="A199" s="21" t="s">
        <v>31</v>
      </c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</row>
    <row r="200" spans="1:14" ht="47.25">
      <c r="A200" s="22" t="s">
        <v>2</v>
      </c>
      <c r="B200" s="22" t="s">
        <v>3</v>
      </c>
      <c r="C200" s="23" t="s">
        <v>4</v>
      </c>
      <c r="D200" s="22" t="s">
        <v>16</v>
      </c>
      <c r="E200" s="24"/>
      <c r="F200" s="24"/>
      <c r="G200" s="6" t="s">
        <v>5</v>
      </c>
      <c r="H200" s="22" t="s">
        <v>7</v>
      </c>
      <c r="I200" s="22"/>
      <c r="J200" s="22"/>
      <c r="K200" s="22" t="s">
        <v>8</v>
      </c>
      <c r="L200" s="22"/>
      <c r="M200" s="22"/>
      <c r="N200" s="22"/>
    </row>
    <row r="201" spans="1:14">
      <c r="A201" s="22"/>
      <c r="B201" s="22"/>
      <c r="C201" s="23"/>
      <c r="D201" s="7" t="s">
        <v>17</v>
      </c>
      <c r="E201" s="7" t="s">
        <v>18</v>
      </c>
      <c r="F201" s="7" t="s">
        <v>19</v>
      </c>
      <c r="G201" s="7" t="s">
        <v>6</v>
      </c>
      <c r="H201" s="7" t="s">
        <v>9</v>
      </c>
      <c r="I201" s="7" t="s">
        <v>10</v>
      </c>
      <c r="J201" s="7" t="s">
        <v>11</v>
      </c>
      <c r="K201" s="7" t="s">
        <v>12</v>
      </c>
      <c r="L201" s="7" t="s">
        <v>13</v>
      </c>
      <c r="M201" s="7" t="s">
        <v>14</v>
      </c>
      <c r="N201" s="7" t="s">
        <v>15</v>
      </c>
    </row>
    <row r="202" spans="1:14">
      <c r="A202" s="8" t="s">
        <v>136</v>
      </c>
      <c r="B202" s="8" t="s">
        <v>139</v>
      </c>
      <c r="C202" s="9">
        <v>100</v>
      </c>
      <c r="D202" s="9">
        <v>0.67</v>
      </c>
      <c r="E202" s="9">
        <v>0.1</v>
      </c>
      <c r="F202" s="9">
        <v>9.0299999999999994</v>
      </c>
      <c r="G202" s="7">
        <v>120</v>
      </c>
      <c r="H202" s="9">
        <v>0.03</v>
      </c>
      <c r="I202" s="9">
        <v>7.32</v>
      </c>
      <c r="J202" s="9">
        <v>0</v>
      </c>
      <c r="K202" s="9">
        <v>31.62</v>
      </c>
      <c r="L202" s="9">
        <v>31.98</v>
      </c>
      <c r="M202" s="9">
        <v>15.38</v>
      </c>
      <c r="N202" s="9">
        <v>0.77</v>
      </c>
    </row>
    <row r="203" spans="1:14">
      <c r="A203" s="8" t="s">
        <v>137</v>
      </c>
      <c r="B203" s="8" t="s">
        <v>140</v>
      </c>
      <c r="C203" s="9">
        <v>250</v>
      </c>
      <c r="D203" s="9">
        <v>2.0499999999999998</v>
      </c>
      <c r="E203" s="9">
        <v>5.43</v>
      </c>
      <c r="F203" s="9">
        <v>10.64</v>
      </c>
      <c r="G203" s="7">
        <v>101</v>
      </c>
      <c r="H203" s="9">
        <v>7.0000000000000007E-2</v>
      </c>
      <c r="I203" s="9">
        <v>20.010000000000002</v>
      </c>
      <c r="J203" s="9">
        <v>0.03</v>
      </c>
      <c r="K203" s="9">
        <v>32.270000000000003</v>
      </c>
      <c r="L203" s="9">
        <v>57.7</v>
      </c>
      <c r="M203" s="9">
        <v>20.37</v>
      </c>
      <c r="N203" s="9">
        <v>0.71</v>
      </c>
    </row>
    <row r="204" spans="1:14">
      <c r="A204" s="8" t="s">
        <v>138</v>
      </c>
      <c r="B204" s="8" t="s">
        <v>141</v>
      </c>
      <c r="C204" s="9">
        <v>180</v>
      </c>
      <c r="D204" s="9">
        <v>22.79</v>
      </c>
      <c r="E204" s="9">
        <v>8.6199999999999992</v>
      </c>
      <c r="F204" s="9">
        <v>36.96</v>
      </c>
      <c r="G204" s="7">
        <v>320.39999999999998</v>
      </c>
      <c r="H204" s="9">
        <v>0.14000000000000001</v>
      </c>
      <c r="I204" s="9">
        <v>2.4700000000000002</v>
      </c>
      <c r="J204" s="9">
        <v>0.04</v>
      </c>
      <c r="K204" s="9">
        <v>26.06</v>
      </c>
      <c r="L204" s="9">
        <v>283.10000000000002</v>
      </c>
      <c r="M204" s="9">
        <v>55.92</v>
      </c>
      <c r="N204" s="9">
        <v>2.72</v>
      </c>
    </row>
    <row r="205" spans="1:14">
      <c r="A205" s="8" t="s">
        <v>177</v>
      </c>
      <c r="B205" s="8" t="s">
        <v>178</v>
      </c>
      <c r="C205" s="9">
        <v>200</v>
      </c>
      <c r="D205" s="9">
        <v>5.6</v>
      </c>
      <c r="E205" s="9">
        <v>6.4</v>
      </c>
      <c r="F205" s="9">
        <v>15.18</v>
      </c>
      <c r="G205" s="7">
        <v>145</v>
      </c>
      <c r="H205" s="9">
        <v>0.06</v>
      </c>
      <c r="I205" s="9">
        <v>1.4</v>
      </c>
      <c r="J205" s="9">
        <v>0.04</v>
      </c>
      <c r="K205" s="9">
        <v>240.14</v>
      </c>
      <c r="L205" s="9">
        <v>190</v>
      </c>
      <c r="M205" s="9">
        <v>28</v>
      </c>
      <c r="N205" s="9">
        <v>0.22</v>
      </c>
    </row>
    <row r="206" spans="1:14">
      <c r="A206" s="8"/>
      <c r="B206" s="8" t="s">
        <v>28</v>
      </c>
      <c r="C206" s="9">
        <v>60</v>
      </c>
      <c r="D206" s="9">
        <v>8.58</v>
      </c>
      <c r="E206" s="9">
        <v>4.8899999999999997</v>
      </c>
      <c r="F206" s="9">
        <v>21.84</v>
      </c>
      <c r="G206" s="7">
        <v>101.34</v>
      </c>
      <c r="H206" s="9">
        <v>4.2000000000000003E-2</v>
      </c>
      <c r="I206" s="9">
        <v>4.2720000000000002</v>
      </c>
      <c r="J206" s="9">
        <v>0</v>
      </c>
      <c r="K206" s="9">
        <v>42.72</v>
      </c>
      <c r="L206" s="9">
        <v>4.68</v>
      </c>
      <c r="M206" s="9">
        <v>0.192</v>
      </c>
      <c r="N206" s="9">
        <v>0.32</v>
      </c>
    </row>
    <row r="207" spans="1:14">
      <c r="A207" s="8"/>
      <c r="B207" s="8" t="s">
        <v>40</v>
      </c>
      <c r="C207" s="9">
        <v>60</v>
      </c>
      <c r="D207" s="9">
        <v>2.8980000000000001</v>
      </c>
      <c r="E207" s="9">
        <v>0.504</v>
      </c>
      <c r="F207" s="9">
        <v>24.138000000000002</v>
      </c>
      <c r="G207" s="7">
        <v>115.56</v>
      </c>
      <c r="H207" s="9">
        <v>0.09</v>
      </c>
      <c r="I207" s="9">
        <v>0</v>
      </c>
      <c r="J207" s="9">
        <v>0</v>
      </c>
      <c r="K207" s="9">
        <v>1.3080000000000001</v>
      </c>
      <c r="L207" s="9">
        <v>13.38</v>
      </c>
      <c r="M207" s="9">
        <v>2.04</v>
      </c>
      <c r="N207" s="9">
        <v>3.4</v>
      </c>
    </row>
    <row r="208" spans="1:14" s="16" customFormat="1">
      <c r="A208" s="15" t="s">
        <v>30</v>
      </c>
      <c r="B208" s="15"/>
      <c r="C208" s="7"/>
      <c r="D208" s="7">
        <f t="shared" ref="D208:N208" si="82">SUM(D202:D207)</f>
        <v>42.588000000000001</v>
      </c>
      <c r="E208" s="7">
        <f t="shared" si="82"/>
        <v>25.943999999999999</v>
      </c>
      <c r="F208" s="7">
        <f t="shared" si="82"/>
        <v>117.78800000000001</v>
      </c>
      <c r="G208" s="7">
        <f t="shared" si="82"/>
        <v>903.3</v>
      </c>
      <c r="H208" s="7">
        <f t="shared" si="82"/>
        <v>0.43200000000000005</v>
      </c>
      <c r="I208" s="7">
        <f t="shared" si="82"/>
        <v>35.472000000000001</v>
      </c>
      <c r="J208" s="7">
        <f t="shared" si="82"/>
        <v>0.11000000000000001</v>
      </c>
      <c r="K208" s="7">
        <f t="shared" si="82"/>
        <v>374.11799999999994</v>
      </c>
      <c r="L208" s="7">
        <f t="shared" si="82"/>
        <v>580.83999999999992</v>
      </c>
      <c r="M208" s="7">
        <f t="shared" si="82"/>
        <v>121.902</v>
      </c>
      <c r="N208" s="7">
        <f t="shared" si="82"/>
        <v>8.14</v>
      </c>
    </row>
    <row r="209" spans="1:15">
      <c r="A209" s="19" t="s">
        <v>42</v>
      </c>
      <c r="B209" s="19"/>
      <c r="C209" s="10"/>
      <c r="D209" s="10"/>
      <c r="E209" s="10"/>
      <c r="F209" s="10"/>
      <c r="G209" s="11">
        <f>G197+G208</f>
        <v>1752.08</v>
      </c>
      <c r="H209" s="10"/>
      <c r="I209" s="10"/>
      <c r="J209" s="10"/>
      <c r="K209" s="10"/>
      <c r="L209" s="10"/>
      <c r="M209" s="10"/>
      <c r="N209" s="10"/>
    </row>
    <row r="210" spans="1:15" hidden="1"/>
    <row r="211" spans="1:15" hidden="1"/>
    <row r="212" spans="1:15">
      <c r="A212" s="20" t="s">
        <v>175</v>
      </c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</row>
    <row r="213" spans="1:15">
      <c r="A213" s="20" t="s">
        <v>142</v>
      </c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</row>
    <row r="214" spans="1:15" ht="10.5" customHeight="1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</row>
    <row r="215" spans="1:15">
      <c r="A215" s="21" t="s">
        <v>1</v>
      </c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</row>
    <row r="216" spans="1:15" ht="47.25">
      <c r="A216" s="22" t="s">
        <v>2</v>
      </c>
      <c r="B216" s="22" t="s">
        <v>3</v>
      </c>
      <c r="C216" s="23" t="s">
        <v>4</v>
      </c>
      <c r="D216" s="22" t="s">
        <v>16</v>
      </c>
      <c r="E216" s="24"/>
      <c r="F216" s="24"/>
      <c r="G216" s="6" t="s">
        <v>5</v>
      </c>
      <c r="H216" s="22" t="s">
        <v>7</v>
      </c>
      <c r="I216" s="22"/>
      <c r="J216" s="22"/>
      <c r="K216" s="22" t="s">
        <v>8</v>
      </c>
      <c r="L216" s="22"/>
      <c r="M216" s="22"/>
      <c r="N216" s="22"/>
      <c r="O216" s="2"/>
    </row>
    <row r="217" spans="1:15">
      <c r="A217" s="22"/>
      <c r="B217" s="22"/>
      <c r="C217" s="23"/>
      <c r="D217" s="7" t="s">
        <v>17</v>
      </c>
      <c r="E217" s="7" t="s">
        <v>18</v>
      </c>
      <c r="F217" s="7" t="s">
        <v>19</v>
      </c>
      <c r="G217" s="7" t="s">
        <v>6</v>
      </c>
      <c r="H217" s="7" t="s">
        <v>9</v>
      </c>
      <c r="I217" s="7" t="s">
        <v>10</v>
      </c>
      <c r="J217" s="7" t="s">
        <v>11</v>
      </c>
      <c r="K217" s="7" t="s">
        <v>12</v>
      </c>
      <c r="L217" s="7" t="s">
        <v>13</v>
      </c>
      <c r="M217" s="7" t="s">
        <v>14</v>
      </c>
      <c r="N217" s="7" t="s">
        <v>15</v>
      </c>
    </row>
    <row r="218" spans="1:15">
      <c r="A218" s="8" t="s">
        <v>20</v>
      </c>
      <c r="B218" s="8" t="s">
        <v>24</v>
      </c>
      <c r="C218" s="9">
        <v>30</v>
      </c>
      <c r="D218" s="9">
        <v>6.9</v>
      </c>
      <c r="E218" s="9">
        <v>8.6999999999999993</v>
      </c>
      <c r="F218" s="9">
        <v>0</v>
      </c>
      <c r="G218" s="7">
        <v>108</v>
      </c>
      <c r="H218" s="9">
        <v>0.01</v>
      </c>
      <c r="I218" s="9">
        <v>0.48</v>
      </c>
      <c r="J218" s="9">
        <v>7.0000000000000007E-2</v>
      </c>
      <c r="K218" s="9">
        <v>300</v>
      </c>
      <c r="L218" s="9">
        <v>162</v>
      </c>
      <c r="M218" s="9">
        <v>15</v>
      </c>
      <c r="N218" s="9">
        <v>0.33</v>
      </c>
    </row>
    <row r="219" spans="1:15">
      <c r="A219" s="8" t="s">
        <v>109</v>
      </c>
      <c r="B219" s="8" t="s">
        <v>111</v>
      </c>
      <c r="C219" s="9" t="s">
        <v>84</v>
      </c>
      <c r="D219" s="9">
        <v>5.92</v>
      </c>
      <c r="E219" s="9">
        <v>11.59</v>
      </c>
      <c r="F219" s="9">
        <v>49.44</v>
      </c>
      <c r="G219" s="7">
        <v>326</v>
      </c>
      <c r="H219" s="9">
        <v>0.08</v>
      </c>
      <c r="I219" s="9">
        <v>1.1599999999999999</v>
      </c>
      <c r="J219" s="9">
        <v>0.6</v>
      </c>
      <c r="K219" s="9">
        <v>124.4</v>
      </c>
      <c r="L219" s="9">
        <v>164</v>
      </c>
      <c r="M219" s="9">
        <v>39.83</v>
      </c>
      <c r="N219" s="9">
        <v>0.87</v>
      </c>
    </row>
    <row r="220" spans="1:15">
      <c r="A220" s="8" t="s">
        <v>143</v>
      </c>
      <c r="B220" s="8" t="s">
        <v>144</v>
      </c>
      <c r="C220" s="9">
        <v>200</v>
      </c>
      <c r="D220" s="9">
        <v>1.3</v>
      </c>
      <c r="E220" s="9">
        <v>0</v>
      </c>
      <c r="F220" s="9">
        <v>23.73</v>
      </c>
      <c r="G220" s="7">
        <v>96</v>
      </c>
      <c r="H220" s="9">
        <v>0.02</v>
      </c>
      <c r="I220" s="9">
        <v>1</v>
      </c>
      <c r="J220" s="9">
        <v>0</v>
      </c>
      <c r="K220" s="9">
        <v>40.200000000000003</v>
      </c>
      <c r="L220" s="9">
        <v>36.5</v>
      </c>
      <c r="M220" s="9">
        <v>26.25</v>
      </c>
      <c r="N220" s="9">
        <v>0.83</v>
      </c>
    </row>
    <row r="221" spans="1:15">
      <c r="A221" s="8" t="s">
        <v>124</v>
      </c>
      <c r="B221" s="8" t="s">
        <v>145</v>
      </c>
      <c r="C221" s="9">
        <v>100</v>
      </c>
      <c r="D221" s="9">
        <v>3.55</v>
      </c>
      <c r="E221" s="9">
        <v>11.92</v>
      </c>
      <c r="F221" s="9">
        <v>8.98</v>
      </c>
      <c r="G221" s="7">
        <v>158.33000000000001</v>
      </c>
      <c r="H221" s="9">
        <v>0.08</v>
      </c>
      <c r="I221" s="9">
        <v>14.03</v>
      </c>
      <c r="J221" s="9">
        <v>0.03</v>
      </c>
      <c r="K221" s="9">
        <v>31.57</v>
      </c>
      <c r="L221" s="9">
        <v>74.83</v>
      </c>
      <c r="M221" s="9">
        <v>23.68</v>
      </c>
      <c r="N221" s="9">
        <v>1.02</v>
      </c>
    </row>
    <row r="222" spans="1:15">
      <c r="A222" s="8"/>
      <c r="B222" s="8" t="s">
        <v>28</v>
      </c>
      <c r="C222" s="9">
        <v>50</v>
      </c>
      <c r="D222" s="9">
        <v>7.15</v>
      </c>
      <c r="E222" s="9">
        <v>4.0750000000000002</v>
      </c>
      <c r="F222" s="9">
        <v>18.2</v>
      </c>
      <c r="G222" s="7">
        <v>84.45</v>
      </c>
      <c r="H222" s="9">
        <v>3.5000000000000003E-2</v>
      </c>
      <c r="I222" s="9">
        <v>3.56</v>
      </c>
      <c r="J222" s="9">
        <v>0</v>
      </c>
      <c r="K222" s="9">
        <v>11.76</v>
      </c>
      <c r="L222" s="9">
        <v>35.6</v>
      </c>
      <c r="M222" s="9">
        <v>3.9</v>
      </c>
      <c r="N222" s="9">
        <v>0.16</v>
      </c>
    </row>
    <row r="223" spans="1:15" s="16" customFormat="1">
      <c r="A223" s="15" t="s">
        <v>30</v>
      </c>
      <c r="B223" s="15"/>
      <c r="C223" s="7"/>
      <c r="D223" s="7">
        <f t="shared" ref="D223:N223" si="83">SUM(D218:D222)</f>
        <v>24.82</v>
      </c>
      <c r="E223" s="7">
        <f t="shared" si="83"/>
        <v>36.285000000000004</v>
      </c>
      <c r="F223" s="7">
        <f t="shared" si="83"/>
        <v>100.35000000000001</v>
      </c>
      <c r="G223" s="7">
        <f t="shared" si="83"/>
        <v>772.78000000000009</v>
      </c>
      <c r="H223" s="7">
        <f t="shared" si="83"/>
        <v>0.22500000000000001</v>
      </c>
      <c r="I223" s="7">
        <f t="shared" si="83"/>
        <v>20.229999999999997</v>
      </c>
      <c r="J223" s="7">
        <f t="shared" si="83"/>
        <v>0.7</v>
      </c>
      <c r="K223" s="7">
        <f t="shared" si="83"/>
        <v>507.92999999999995</v>
      </c>
      <c r="L223" s="7">
        <f t="shared" si="83"/>
        <v>472.93</v>
      </c>
      <c r="M223" s="7">
        <f t="shared" si="83"/>
        <v>108.66</v>
      </c>
      <c r="N223" s="7">
        <f t="shared" si="83"/>
        <v>3.21</v>
      </c>
    </row>
    <row r="224" spans="1:15">
      <c r="A224" s="3"/>
      <c r="B224" s="3"/>
      <c r="C224" s="3"/>
      <c r="D224" s="3"/>
      <c r="E224" s="3"/>
      <c r="F224" s="3"/>
      <c r="G224" s="4"/>
      <c r="H224" s="3"/>
      <c r="I224" s="3"/>
      <c r="J224" s="3"/>
      <c r="K224" s="3"/>
      <c r="L224" s="3"/>
      <c r="M224" s="3"/>
      <c r="N224" s="3"/>
    </row>
    <row r="225" spans="1:14">
      <c r="A225" s="21" t="s">
        <v>31</v>
      </c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</row>
    <row r="226" spans="1:14" ht="47.25">
      <c r="A226" s="22" t="s">
        <v>2</v>
      </c>
      <c r="B226" s="22" t="s">
        <v>3</v>
      </c>
      <c r="C226" s="23" t="s">
        <v>4</v>
      </c>
      <c r="D226" s="22" t="s">
        <v>16</v>
      </c>
      <c r="E226" s="24"/>
      <c r="F226" s="24"/>
      <c r="G226" s="6" t="s">
        <v>5</v>
      </c>
      <c r="H226" s="22" t="s">
        <v>7</v>
      </c>
      <c r="I226" s="22"/>
      <c r="J226" s="22"/>
      <c r="K226" s="22" t="s">
        <v>8</v>
      </c>
      <c r="L226" s="22"/>
      <c r="M226" s="22"/>
      <c r="N226" s="22"/>
    </row>
    <row r="227" spans="1:14">
      <c r="A227" s="22"/>
      <c r="B227" s="22"/>
      <c r="C227" s="23"/>
      <c r="D227" s="7" t="s">
        <v>17</v>
      </c>
      <c r="E227" s="7" t="s">
        <v>18</v>
      </c>
      <c r="F227" s="7" t="s">
        <v>19</v>
      </c>
      <c r="G227" s="7" t="s">
        <v>6</v>
      </c>
      <c r="H227" s="7" t="s">
        <v>9</v>
      </c>
      <c r="I227" s="7" t="s">
        <v>10</v>
      </c>
      <c r="J227" s="7" t="s">
        <v>11</v>
      </c>
      <c r="K227" s="7" t="s">
        <v>12</v>
      </c>
      <c r="L227" s="7" t="s">
        <v>13</v>
      </c>
      <c r="M227" s="7" t="s">
        <v>14</v>
      </c>
      <c r="N227" s="7" t="s">
        <v>15</v>
      </c>
    </row>
    <row r="228" spans="1:14">
      <c r="A228" s="8" t="s">
        <v>32</v>
      </c>
      <c r="B228" s="8" t="s">
        <v>36</v>
      </c>
      <c r="C228" s="9">
        <v>100</v>
      </c>
      <c r="D228" s="9">
        <v>1.45</v>
      </c>
      <c r="E228" s="9">
        <v>18.399999999999999</v>
      </c>
      <c r="F228" s="9">
        <v>6.52</v>
      </c>
      <c r="G228" s="7">
        <v>196.67</v>
      </c>
      <c r="H228" s="9">
        <v>0.03</v>
      </c>
      <c r="I228" s="9">
        <v>6.72</v>
      </c>
      <c r="J228" s="9">
        <v>0</v>
      </c>
      <c r="K228" s="9">
        <v>21.87</v>
      </c>
      <c r="L228" s="9">
        <v>40.58</v>
      </c>
      <c r="M228" s="9">
        <v>23.28</v>
      </c>
      <c r="N228" s="9">
        <v>0.85</v>
      </c>
    </row>
    <row r="229" spans="1:14">
      <c r="A229" s="8" t="s">
        <v>146</v>
      </c>
      <c r="B229" s="8" t="s">
        <v>150</v>
      </c>
      <c r="C229" s="9">
        <v>250</v>
      </c>
      <c r="D229" s="9">
        <v>2.02</v>
      </c>
      <c r="E229" s="9">
        <v>5.37</v>
      </c>
      <c r="F229" s="9">
        <v>11.4</v>
      </c>
      <c r="G229" s="7">
        <v>104</v>
      </c>
      <c r="H229" s="9">
        <v>0.08</v>
      </c>
      <c r="I229" s="9">
        <v>21.26</v>
      </c>
      <c r="J229" s="9">
        <v>0.03</v>
      </c>
      <c r="K229" s="9">
        <v>30.12</v>
      </c>
      <c r="L229" s="9">
        <v>55.1</v>
      </c>
      <c r="M229" s="9">
        <v>21.95</v>
      </c>
      <c r="N229" s="9">
        <v>0.8</v>
      </c>
    </row>
    <row r="230" spans="1:14">
      <c r="A230" s="8" t="s">
        <v>147</v>
      </c>
      <c r="B230" s="8" t="s">
        <v>151</v>
      </c>
      <c r="C230" s="9">
        <v>100</v>
      </c>
      <c r="D230" s="9">
        <v>1.83</v>
      </c>
      <c r="E230" s="9">
        <v>3.99</v>
      </c>
      <c r="F230" s="9">
        <v>10.58</v>
      </c>
      <c r="G230" s="7">
        <v>253.8</v>
      </c>
      <c r="H230" s="9">
        <v>0.14000000000000001</v>
      </c>
      <c r="I230" s="9">
        <v>0</v>
      </c>
      <c r="J230" s="9">
        <v>0.04</v>
      </c>
      <c r="K230" s="9">
        <v>41.94</v>
      </c>
      <c r="L230" s="9">
        <v>72.069999999999993</v>
      </c>
      <c r="M230" s="9">
        <v>29.51</v>
      </c>
      <c r="N230" s="9">
        <v>1.19</v>
      </c>
    </row>
    <row r="231" spans="1:14">
      <c r="A231" s="8" t="s">
        <v>148</v>
      </c>
      <c r="B231" s="8" t="s">
        <v>152</v>
      </c>
      <c r="C231" s="9">
        <v>100</v>
      </c>
      <c r="D231" s="9">
        <v>19.55</v>
      </c>
      <c r="E231" s="9">
        <v>0.73</v>
      </c>
      <c r="F231" s="9">
        <v>11.1</v>
      </c>
      <c r="G231" s="7">
        <v>86</v>
      </c>
      <c r="H231" s="9">
        <v>0.1</v>
      </c>
      <c r="I231" s="9">
        <v>1.63</v>
      </c>
      <c r="J231" s="9">
        <v>0</v>
      </c>
      <c r="K231" s="9">
        <v>35.409999999999997</v>
      </c>
      <c r="L231" s="9">
        <v>258.5</v>
      </c>
      <c r="M231" s="9">
        <v>36.880000000000003</v>
      </c>
      <c r="N231" s="9">
        <v>0.48</v>
      </c>
    </row>
    <row r="232" spans="1:14">
      <c r="A232" s="8" t="s">
        <v>54</v>
      </c>
      <c r="B232" s="3" t="s">
        <v>59</v>
      </c>
      <c r="C232" s="9">
        <v>200</v>
      </c>
      <c r="D232" s="9">
        <v>0.1</v>
      </c>
      <c r="E232" s="9">
        <v>0</v>
      </c>
      <c r="F232" s="9">
        <v>27.88</v>
      </c>
      <c r="G232" s="7">
        <v>110</v>
      </c>
      <c r="H232" s="9">
        <v>0</v>
      </c>
      <c r="I232" s="9">
        <v>3</v>
      </c>
      <c r="J232" s="9">
        <v>0</v>
      </c>
      <c r="K232" s="9">
        <v>6.8</v>
      </c>
      <c r="L232" s="9">
        <v>9.1300000000000008</v>
      </c>
      <c r="M232" s="9">
        <v>1.6</v>
      </c>
      <c r="N232" s="9">
        <v>0.18</v>
      </c>
    </row>
    <row r="233" spans="1:14">
      <c r="A233" s="8"/>
      <c r="B233" s="8" t="s">
        <v>28</v>
      </c>
      <c r="C233" s="9">
        <v>60</v>
      </c>
      <c r="D233" s="9">
        <v>8.58</v>
      </c>
      <c r="E233" s="9">
        <v>4.8899999999999997</v>
      </c>
      <c r="F233" s="9">
        <v>21.84</v>
      </c>
      <c r="G233" s="7">
        <v>101.34</v>
      </c>
      <c r="H233" s="9">
        <v>4.2000000000000003E-2</v>
      </c>
      <c r="I233" s="9">
        <v>4.2720000000000002</v>
      </c>
      <c r="J233" s="9">
        <v>0</v>
      </c>
      <c r="K233" s="9">
        <v>42.72</v>
      </c>
      <c r="L233" s="9">
        <v>4.68</v>
      </c>
      <c r="M233" s="9">
        <v>0.192</v>
      </c>
      <c r="N233" s="9">
        <v>0.32</v>
      </c>
    </row>
    <row r="234" spans="1:14">
      <c r="A234" s="8"/>
      <c r="B234" s="8" t="s">
        <v>40</v>
      </c>
      <c r="C234" s="9">
        <v>60</v>
      </c>
      <c r="D234" s="9">
        <v>2.8980000000000001</v>
      </c>
      <c r="E234" s="9">
        <v>0.504</v>
      </c>
      <c r="F234" s="9">
        <v>24.138000000000002</v>
      </c>
      <c r="G234" s="7">
        <v>115.56</v>
      </c>
      <c r="H234" s="9">
        <v>0.09</v>
      </c>
      <c r="I234" s="9">
        <v>0</v>
      </c>
      <c r="J234" s="9">
        <v>0</v>
      </c>
      <c r="K234" s="9">
        <v>1.3080000000000001</v>
      </c>
      <c r="L234" s="9">
        <v>13.38</v>
      </c>
      <c r="M234" s="9">
        <v>2.04</v>
      </c>
      <c r="N234" s="9">
        <v>3.4</v>
      </c>
    </row>
    <row r="235" spans="1:14" s="16" customFormat="1">
      <c r="A235" s="15" t="s">
        <v>30</v>
      </c>
      <c r="B235" s="15"/>
      <c r="C235" s="7"/>
      <c r="D235" s="7">
        <f t="shared" ref="D235:N235" si="84">SUM(D228:D234)</f>
        <v>36.428000000000004</v>
      </c>
      <c r="E235" s="7">
        <f t="shared" si="84"/>
        <v>33.883999999999993</v>
      </c>
      <c r="F235" s="7">
        <f t="shared" si="84"/>
        <v>113.45800000000001</v>
      </c>
      <c r="G235" s="7">
        <f t="shared" si="84"/>
        <v>967.37000000000012</v>
      </c>
      <c r="H235" s="7">
        <f t="shared" si="84"/>
        <v>0.48199999999999998</v>
      </c>
      <c r="I235" s="7">
        <f t="shared" si="84"/>
        <v>36.881999999999998</v>
      </c>
      <c r="J235" s="7">
        <f t="shared" si="84"/>
        <v>7.0000000000000007E-2</v>
      </c>
      <c r="K235" s="7">
        <f t="shared" si="84"/>
        <v>180.16800000000001</v>
      </c>
      <c r="L235" s="7">
        <f t="shared" si="84"/>
        <v>453.44</v>
      </c>
      <c r="M235" s="7">
        <f t="shared" si="84"/>
        <v>115.452</v>
      </c>
      <c r="N235" s="7">
        <f t="shared" si="84"/>
        <v>7.22</v>
      </c>
    </row>
    <row r="236" spans="1:14">
      <c r="A236" s="19" t="s">
        <v>42</v>
      </c>
      <c r="B236" s="19"/>
      <c r="C236" s="10"/>
      <c r="D236" s="10"/>
      <c r="E236" s="10"/>
      <c r="F236" s="10"/>
      <c r="G236" s="11">
        <f>G223+G235</f>
        <v>1740.15</v>
      </c>
      <c r="H236" s="10"/>
      <c r="I236" s="10"/>
      <c r="J236" s="10"/>
      <c r="K236" s="10"/>
      <c r="L236" s="10"/>
      <c r="M236" s="10"/>
      <c r="N236" s="10"/>
    </row>
    <row r="237" spans="1:14" hidden="1"/>
    <row r="238" spans="1:14" hidden="1"/>
    <row r="239" spans="1:14">
      <c r="A239" s="20" t="s">
        <v>175</v>
      </c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</row>
    <row r="240" spans="1:14">
      <c r="A240" s="20" t="s">
        <v>153</v>
      </c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</row>
    <row r="241" spans="1:15" ht="10.5" customHeight="1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</row>
    <row r="242" spans="1:15">
      <c r="A242" s="21" t="s">
        <v>1</v>
      </c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</row>
    <row r="243" spans="1:15" ht="47.25">
      <c r="A243" s="22" t="s">
        <v>2</v>
      </c>
      <c r="B243" s="22" t="s">
        <v>3</v>
      </c>
      <c r="C243" s="23" t="s">
        <v>4</v>
      </c>
      <c r="D243" s="22" t="s">
        <v>16</v>
      </c>
      <c r="E243" s="24"/>
      <c r="F243" s="24"/>
      <c r="G243" s="6" t="s">
        <v>5</v>
      </c>
      <c r="H243" s="22" t="s">
        <v>7</v>
      </c>
      <c r="I243" s="22"/>
      <c r="J243" s="22"/>
      <c r="K243" s="22" t="s">
        <v>8</v>
      </c>
      <c r="L243" s="22"/>
      <c r="M243" s="22"/>
      <c r="N243" s="22"/>
      <c r="O243" s="2"/>
    </row>
    <row r="244" spans="1:15">
      <c r="A244" s="22"/>
      <c r="B244" s="22"/>
      <c r="C244" s="23"/>
      <c r="D244" s="7" t="s">
        <v>17</v>
      </c>
      <c r="E244" s="7" t="s">
        <v>18</v>
      </c>
      <c r="F244" s="7" t="s">
        <v>19</v>
      </c>
      <c r="G244" s="7" t="s">
        <v>6</v>
      </c>
      <c r="H244" s="7" t="s">
        <v>9</v>
      </c>
      <c r="I244" s="7" t="s">
        <v>10</v>
      </c>
      <c r="J244" s="7" t="s">
        <v>11</v>
      </c>
      <c r="K244" s="7" t="s">
        <v>12</v>
      </c>
      <c r="L244" s="7" t="s">
        <v>13</v>
      </c>
      <c r="M244" s="7" t="s">
        <v>14</v>
      </c>
      <c r="N244" s="7" t="s">
        <v>15</v>
      </c>
    </row>
    <row r="245" spans="1:15">
      <c r="A245" s="8" t="s">
        <v>154</v>
      </c>
      <c r="B245" s="8" t="s">
        <v>156</v>
      </c>
      <c r="C245" s="9">
        <v>200</v>
      </c>
      <c r="D245" s="9">
        <v>5.52</v>
      </c>
      <c r="E245" s="9">
        <v>9.1999999999999993</v>
      </c>
      <c r="F245" s="9">
        <v>1.02</v>
      </c>
      <c r="G245" s="7">
        <v>284</v>
      </c>
      <c r="H245" s="9">
        <v>0.23</v>
      </c>
      <c r="I245" s="9">
        <v>1.23</v>
      </c>
      <c r="J245" s="9">
        <v>7.0000000000000007E-2</v>
      </c>
      <c r="K245" s="9">
        <v>141.24</v>
      </c>
      <c r="L245" s="9">
        <v>227.8</v>
      </c>
      <c r="M245" s="9">
        <v>68.760000000000005</v>
      </c>
      <c r="N245" s="9">
        <v>1.67</v>
      </c>
    </row>
    <row r="246" spans="1:15">
      <c r="A246" s="8" t="s">
        <v>155</v>
      </c>
      <c r="B246" s="8" t="s">
        <v>157</v>
      </c>
      <c r="C246" s="9">
        <v>100</v>
      </c>
      <c r="D246" s="9">
        <v>1.61</v>
      </c>
      <c r="E246" s="9">
        <v>5.15</v>
      </c>
      <c r="F246" s="9">
        <v>11.72</v>
      </c>
      <c r="G246" s="7">
        <v>98.33</v>
      </c>
      <c r="H246" s="9">
        <v>0.03</v>
      </c>
      <c r="I246" s="9">
        <v>10.88</v>
      </c>
      <c r="J246" s="9">
        <v>0</v>
      </c>
      <c r="K246" s="9">
        <v>36.450000000000003</v>
      </c>
      <c r="L246" s="9">
        <v>35.18</v>
      </c>
      <c r="M246" s="9">
        <v>18.079999999999998</v>
      </c>
      <c r="N246" s="9">
        <v>1.08</v>
      </c>
    </row>
    <row r="247" spans="1:15">
      <c r="A247" s="8" t="s">
        <v>88</v>
      </c>
      <c r="B247" s="8" t="s">
        <v>91</v>
      </c>
      <c r="C247" s="9">
        <v>200</v>
      </c>
      <c r="D247" s="9">
        <v>4.2</v>
      </c>
      <c r="E247" s="9">
        <v>4.8</v>
      </c>
      <c r="F247" s="9">
        <v>7.05</v>
      </c>
      <c r="G247" s="7">
        <v>87</v>
      </c>
      <c r="H247" s="9">
        <v>0.06</v>
      </c>
      <c r="I247" s="9">
        <v>1.095</v>
      </c>
      <c r="J247" s="9">
        <v>0.03</v>
      </c>
      <c r="K247" s="9">
        <v>180</v>
      </c>
      <c r="L247" s="9">
        <v>135</v>
      </c>
      <c r="M247" s="9">
        <v>21</v>
      </c>
      <c r="N247" s="9">
        <v>0.09</v>
      </c>
    </row>
    <row r="248" spans="1:15">
      <c r="A248" s="8"/>
      <c r="B248" s="8" t="s">
        <v>28</v>
      </c>
      <c r="C248" s="9">
        <v>50</v>
      </c>
      <c r="D248" s="9">
        <v>7.15</v>
      </c>
      <c r="E248" s="9">
        <v>4.0750000000000002</v>
      </c>
      <c r="F248" s="9">
        <v>18.2</v>
      </c>
      <c r="G248" s="7">
        <v>84.45</v>
      </c>
      <c r="H248" s="9">
        <v>3.5000000000000003E-2</v>
      </c>
      <c r="I248" s="9">
        <v>3.56</v>
      </c>
      <c r="J248" s="9">
        <v>0</v>
      </c>
      <c r="K248" s="9">
        <v>11.76</v>
      </c>
      <c r="L248" s="9">
        <v>35.6</v>
      </c>
      <c r="M248" s="9">
        <v>3.9</v>
      </c>
      <c r="N248" s="9">
        <v>0.16</v>
      </c>
    </row>
    <row r="249" spans="1:15" s="16" customFormat="1">
      <c r="A249" s="15" t="s">
        <v>30</v>
      </c>
      <c r="B249" s="15"/>
      <c r="C249" s="7"/>
      <c r="D249" s="7">
        <f t="shared" ref="D249:N249" si="85">SUM(D245:D248)</f>
        <v>18.48</v>
      </c>
      <c r="E249" s="7">
        <f t="shared" si="85"/>
        <v>23.224999999999998</v>
      </c>
      <c r="F249" s="7">
        <f t="shared" si="85"/>
        <v>37.989999999999995</v>
      </c>
      <c r="G249" s="7">
        <f t="shared" si="85"/>
        <v>553.78</v>
      </c>
      <c r="H249" s="7">
        <f t="shared" si="85"/>
        <v>0.35499999999999998</v>
      </c>
      <c r="I249" s="7">
        <f t="shared" si="85"/>
        <v>16.765000000000001</v>
      </c>
      <c r="J249" s="7">
        <f t="shared" si="85"/>
        <v>0.1</v>
      </c>
      <c r="K249" s="7">
        <f t="shared" si="85"/>
        <v>369.45</v>
      </c>
      <c r="L249" s="7">
        <f t="shared" si="85"/>
        <v>433.58000000000004</v>
      </c>
      <c r="M249" s="7">
        <f t="shared" si="85"/>
        <v>111.74000000000001</v>
      </c>
      <c r="N249" s="7">
        <f t="shared" si="85"/>
        <v>3</v>
      </c>
    </row>
    <row r="250" spans="1:15">
      <c r="A250" s="3"/>
      <c r="B250" s="3"/>
      <c r="C250" s="3"/>
      <c r="D250" s="3"/>
      <c r="E250" s="3"/>
      <c r="F250" s="3"/>
      <c r="G250" s="4"/>
      <c r="H250" s="3"/>
      <c r="I250" s="3"/>
      <c r="J250" s="3"/>
      <c r="K250" s="3"/>
      <c r="L250" s="3"/>
      <c r="M250" s="3"/>
      <c r="N250" s="3"/>
    </row>
    <row r="251" spans="1:15">
      <c r="A251" s="21" t="s">
        <v>31</v>
      </c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</row>
    <row r="252" spans="1:15" ht="47.25">
      <c r="A252" s="22" t="s">
        <v>2</v>
      </c>
      <c r="B252" s="22" t="s">
        <v>3</v>
      </c>
      <c r="C252" s="23" t="s">
        <v>4</v>
      </c>
      <c r="D252" s="22" t="s">
        <v>16</v>
      </c>
      <c r="E252" s="24"/>
      <c r="F252" s="24"/>
      <c r="G252" s="6" t="s">
        <v>5</v>
      </c>
      <c r="H252" s="22" t="s">
        <v>7</v>
      </c>
      <c r="I252" s="22"/>
      <c r="J252" s="22"/>
      <c r="K252" s="22" t="s">
        <v>8</v>
      </c>
      <c r="L252" s="22"/>
      <c r="M252" s="22"/>
      <c r="N252" s="22"/>
    </row>
    <row r="253" spans="1:15">
      <c r="A253" s="22"/>
      <c r="B253" s="22"/>
      <c r="C253" s="23"/>
      <c r="D253" s="7" t="s">
        <v>17</v>
      </c>
      <c r="E253" s="7" t="s">
        <v>18</v>
      </c>
      <c r="F253" s="7" t="s">
        <v>19</v>
      </c>
      <c r="G253" s="7" t="s">
        <v>6</v>
      </c>
      <c r="H253" s="7" t="s">
        <v>9</v>
      </c>
      <c r="I253" s="7" t="s">
        <v>10</v>
      </c>
      <c r="J253" s="7" t="s">
        <v>11</v>
      </c>
      <c r="K253" s="7" t="s">
        <v>12</v>
      </c>
      <c r="L253" s="7" t="s">
        <v>13</v>
      </c>
      <c r="M253" s="7" t="s">
        <v>14</v>
      </c>
      <c r="N253" s="7" t="s">
        <v>15</v>
      </c>
    </row>
    <row r="254" spans="1:15">
      <c r="A254" s="8" t="s">
        <v>158</v>
      </c>
      <c r="B254" s="8" t="s">
        <v>161</v>
      </c>
      <c r="C254" s="9">
        <v>60</v>
      </c>
      <c r="D254" s="9">
        <v>1.08</v>
      </c>
      <c r="E254" s="9">
        <v>8.4700000000000006</v>
      </c>
      <c r="F254" s="9">
        <v>4.5999999999999996</v>
      </c>
      <c r="G254" s="7">
        <v>100</v>
      </c>
      <c r="H254" s="9">
        <v>0.05</v>
      </c>
      <c r="I254" s="9">
        <v>20.329999999999998</v>
      </c>
      <c r="J254" s="9">
        <v>0</v>
      </c>
      <c r="K254" s="9">
        <v>20.13</v>
      </c>
      <c r="L254" s="9">
        <v>30.67</v>
      </c>
      <c r="M254" s="9">
        <v>17.68</v>
      </c>
      <c r="N254" s="9">
        <v>0.83</v>
      </c>
    </row>
    <row r="255" spans="1:15" ht="32.25">
      <c r="A255" s="8" t="s">
        <v>159</v>
      </c>
      <c r="B255" s="13" t="s">
        <v>162</v>
      </c>
      <c r="C255" s="9">
        <v>250</v>
      </c>
      <c r="D255" s="9">
        <v>6.67</v>
      </c>
      <c r="E255" s="9">
        <v>6.99</v>
      </c>
      <c r="F255" s="9">
        <v>18.45</v>
      </c>
      <c r="G255" s="7">
        <v>167</v>
      </c>
      <c r="H255" s="9">
        <v>0.14000000000000001</v>
      </c>
      <c r="I255" s="9">
        <v>22.35</v>
      </c>
      <c r="J255" s="9">
        <v>0.03</v>
      </c>
      <c r="K255" s="9">
        <v>23.77</v>
      </c>
      <c r="L255" s="9">
        <v>113.4</v>
      </c>
      <c r="M255" s="9">
        <v>34.67</v>
      </c>
      <c r="N255" s="9">
        <v>1.42</v>
      </c>
    </row>
    <row r="256" spans="1:15">
      <c r="A256" s="8" t="s">
        <v>102</v>
      </c>
      <c r="B256" s="8" t="s">
        <v>38</v>
      </c>
      <c r="C256" s="9">
        <v>180</v>
      </c>
      <c r="D256" s="9">
        <v>4.57</v>
      </c>
      <c r="E256" s="9">
        <v>7.33</v>
      </c>
      <c r="F256" s="9">
        <v>46.39</v>
      </c>
      <c r="G256" s="7">
        <v>273.60000000000002</v>
      </c>
      <c r="H256" s="9">
        <v>0.04</v>
      </c>
      <c r="I256" s="9">
        <v>0</v>
      </c>
      <c r="J256" s="9">
        <v>0.04</v>
      </c>
      <c r="K256" s="9">
        <v>39.29</v>
      </c>
      <c r="L256" s="9">
        <v>98.74</v>
      </c>
      <c r="M256" s="9">
        <v>34.4</v>
      </c>
      <c r="N256" s="9">
        <v>0.92</v>
      </c>
    </row>
    <row r="257" spans="1:14">
      <c r="A257" s="8" t="s">
        <v>160</v>
      </c>
      <c r="B257" s="8" t="s">
        <v>163</v>
      </c>
      <c r="C257" s="9">
        <v>100</v>
      </c>
      <c r="D257" s="9">
        <v>7.81</v>
      </c>
      <c r="E257" s="9">
        <v>10.49</v>
      </c>
      <c r="F257" s="9">
        <v>8.02</v>
      </c>
      <c r="G257" s="7">
        <v>234</v>
      </c>
      <c r="H257" s="9">
        <v>0.1</v>
      </c>
      <c r="I257" s="9">
        <v>27.48</v>
      </c>
      <c r="J257" s="9">
        <v>0</v>
      </c>
      <c r="K257" s="9">
        <v>16.8</v>
      </c>
      <c r="L257" s="9">
        <v>202.3</v>
      </c>
      <c r="M257" s="9">
        <v>34.729999999999997</v>
      </c>
      <c r="N257" s="9">
        <v>2.46</v>
      </c>
    </row>
    <row r="258" spans="1:14">
      <c r="A258" s="8" t="s">
        <v>149</v>
      </c>
      <c r="B258" s="3" t="s">
        <v>164</v>
      </c>
      <c r="C258" s="9">
        <v>200</v>
      </c>
      <c r="D258" s="9">
        <v>0.4</v>
      </c>
      <c r="E258" s="9">
        <v>0</v>
      </c>
      <c r="F258" s="9">
        <v>36.1</v>
      </c>
      <c r="G258" s="7">
        <v>191.2</v>
      </c>
      <c r="H258" s="9">
        <v>0</v>
      </c>
      <c r="I258" s="9">
        <v>118</v>
      </c>
      <c r="J258" s="9">
        <v>0.04</v>
      </c>
      <c r="K258" s="9">
        <v>111.4</v>
      </c>
      <c r="L258" s="9">
        <v>72.400000000000006</v>
      </c>
      <c r="M258" s="9">
        <v>3.06</v>
      </c>
      <c r="N258" s="9">
        <v>0.18</v>
      </c>
    </row>
    <row r="259" spans="1:14">
      <c r="A259" s="8"/>
      <c r="B259" s="8" t="s">
        <v>28</v>
      </c>
      <c r="C259" s="9">
        <v>60</v>
      </c>
      <c r="D259" s="9">
        <v>8.58</v>
      </c>
      <c r="E259" s="9">
        <v>4.8899999999999997</v>
      </c>
      <c r="F259" s="9">
        <v>21.84</v>
      </c>
      <c r="G259" s="7">
        <v>101.34</v>
      </c>
      <c r="H259" s="9">
        <v>4.2000000000000003E-2</v>
      </c>
      <c r="I259" s="9">
        <v>4.2720000000000002</v>
      </c>
      <c r="J259" s="9">
        <v>0</v>
      </c>
      <c r="K259" s="9">
        <v>42.72</v>
      </c>
      <c r="L259" s="9">
        <v>4.68</v>
      </c>
      <c r="M259" s="9">
        <v>0.192</v>
      </c>
      <c r="N259" s="9">
        <v>0.32</v>
      </c>
    </row>
    <row r="260" spans="1:14">
      <c r="A260" s="8"/>
      <c r="B260" s="8" t="s">
        <v>40</v>
      </c>
      <c r="C260" s="9">
        <v>60</v>
      </c>
      <c r="D260" s="9">
        <v>2.8980000000000001</v>
      </c>
      <c r="E260" s="9">
        <v>0.504</v>
      </c>
      <c r="F260" s="9">
        <v>24.138000000000002</v>
      </c>
      <c r="G260" s="7">
        <v>115.56</v>
      </c>
      <c r="H260" s="9">
        <v>0.09</v>
      </c>
      <c r="I260" s="9">
        <v>0</v>
      </c>
      <c r="J260" s="9">
        <v>0</v>
      </c>
      <c r="K260" s="9">
        <v>1.3080000000000001</v>
      </c>
      <c r="L260" s="9">
        <v>13.38</v>
      </c>
      <c r="M260" s="9">
        <v>2.04</v>
      </c>
      <c r="N260" s="9">
        <v>3.4</v>
      </c>
    </row>
    <row r="261" spans="1:14" s="16" customFormat="1">
      <c r="A261" s="15" t="s">
        <v>30</v>
      </c>
      <c r="B261" s="15"/>
      <c r="C261" s="7"/>
      <c r="D261" s="7">
        <f>SUM(D254:D260)</f>
        <v>32.008000000000003</v>
      </c>
      <c r="E261" s="7">
        <f t="shared" ref="E261" si="86">SUM(E254:E260)</f>
        <v>38.673999999999999</v>
      </c>
      <c r="F261" s="7">
        <f t="shared" ref="F261" si="87">SUM(F254:F260)</f>
        <v>159.53800000000001</v>
      </c>
      <c r="G261" s="7">
        <f t="shared" ref="G261" si="88">SUM(G254:G260)</f>
        <v>1182.6999999999998</v>
      </c>
      <c r="H261" s="7">
        <f t="shared" ref="H261" si="89">SUM(H254:H260)</f>
        <v>0.46199999999999997</v>
      </c>
      <c r="I261" s="7">
        <f t="shared" ref="I261" si="90">SUM(I254:I260)</f>
        <v>192.43199999999999</v>
      </c>
      <c r="J261" s="7">
        <f t="shared" ref="J261" si="91">SUM(J254:J260)</f>
        <v>0.11000000000000001</v>
      </c>
      <c r="K261" s="7">
        <f t="shared" ref="K261" si="92">SUM(K254:K260)</f>
        <v>255.41799999999998</v>
      </c>
      <c r="L261" s="7">
        <f t="shared" ref="L261" si="93">SUM(L254:L260)</f>
        <v>535.56999999999994</v>
      </c>
      <c r="M261" s="7">
        <f t="shared" ref="M261" si="94">SUM(M254:M260)</f>
        <v>126.77199999999999</v>
      </c>
      <c r="N261" s="7">
        <f t="shared" ref="N261" si="95">SUM(N254:N260)</f>
        <v>9.5299999999999994</v>
      </c>
    </row>
    <row r="262" spans="1:14">
      <c r="A262" s="19" t="s">
        <v>42</v>
      </c>
      <c r="B262" s="19"/>
      <c r="C262" s="10"/>
      <c r="D262" s="10"/>
      <c r="E262" s="10"/>
      <c r="F262" s="10"/>
      <c r="G262" s="11">
        <f>G249+G261</f>
        <v>1736.4799999999998</v>
      </c>
      <c r="H262" s="10"/>
      <c r="I262" s="10"/>
      <c r="J262" s="10"/>
      <c r="K262" s="10"/>
      <c r="L262" s="10"/>
      <c r="M262" s="10"/>
      <c r="N262" s="10"/>
    </row>
  </sheetData>
  <mergeCells count="170">
    <mergeCell ref="A262:B262"/>
    <mergeCell ref="A251:N251"/>
    <mergeCell ref="A252:A253"/>
    <mergeCell ref="B252:B253"/>
    <mergeCell ref="C252:C253"/>
    <mergeCell ref="D252:F252"/>
    <mergeCell ref="H252:J252"/>
    <mergeCell ref="K252:N252"/>
    <mergeCell ref="A236:B236"/>
    <mergeCell ref="A239:N239"/>
    <mergeCell ref="A240:N240"/>
    <mergeCell ref="A242:N242"/>
    <mergeCell ref="A243:A244"/>
    <mergeCell ref="B243:B244"/>
    <mergeCell ref="C243:C244"/>
    <mergeCell ref="D243:F243"/>
    <mergeCell ref="H243:J243"/>
    <mergeCell ref="K243:N243"/>
    <mergeCell ref="A225:N225"/>
    <mergeCell ref="A226:A227"/>
    <mergeCell ref="B226:B227"/>
    <mergeCell ref="C226:C227"/>
    <mergeCell ref="D226:F226"/>
    <mergeCell ref="H226:J226"/>
    <mergeCell ref="K226:N226"/>
    <mergeCell ref="A209:B209"/>
    <mergeCell ref="A212:N212"/>
    <mergeCell ref="A213:N213"/>
    <mergeCell ref="A215:N215"/>
    <mergeCell ref="A216:A217"/>
    <mergeCell ref="B216:B217"/>
    <mergeCell ref="C216:C217"/>
    <mergeCell ref="D216:F216"/>
    <mergeCell ref="H216:J216"/>
    <mergeCell ref="K216:N216"/>
    <mergeCell ref="A199:N199"/>
    <mergeCell ref="A200:A201"/>
    <mergeCell ref="B200:B201"/>
    <mergeCell ref="C200:C201"/>
    <mergeCell ref="D200:F200"/>
    <mergeCell ref="H200:J200"/>
    <mergeCell ref="K200:N200"/>
    <mergeCell ref="A184:B184"/>
    <mergeCell ref="A187:N187"/>
    <mergeCell ref="A188:N188"/>
    <mergeCell ref="A190:N190"/>
    <mergeCell ref="A191:A192"/>
    <mergeCell ref="B191:B192"/>
    <mergeCell ref="C191:C192"/>
    <mergeCell ref="D191:F191"/>
    <mergeCell ref="H191:J191"/>
    <mergeCell ref="K191:N191"/>
    <mergeCell ref="A173:N173"/>
    <mergeCell ref="A174:A175"/>
    <mergeCell ref="B174:B175"/>
    <mergeCell ref="C174:C175"/>
    <mergeCell ref="D174:F174"/>
    <mergeCell ref="H174:J174"/>
    <mergeCell ref="K174:N174"/>
    <mergeCell ref="A158:B158"/>
    <mergeCell ref="A161:N161"/>
    <mergeCell ref="A162:N162"/>
    <mergeCell ref="A164:N164"/>
    <mergeCell ref="A165:A166"/>
    <mergeCell ref="B165:B166"/>
    <mergeCell ref="C165:C166"/>
    <mergeCell ref="D165:F165"/>
    <mergeCell ref="H165:J165"/>
    <mergeCell ref="K165:N165"/>
    <mergeCell ref="A147:N147"/>
    <mergeCell ref="A148:A149"/>
    <mergeCell ref="B148:B149"/>
    <mergeCell ref="C148:C149"/>
    <mergeCell ref="D148:F148"/>
    <mergeCell ref="H148:J148"/>
    <mergeCell ref="K148:N148"/>
    <mergeCell ref="A131:B131"/>
    <mergeCell ref="A134:N134"/>
    <mergeCell ref="A135:N135"/>
    <mergeCell ref="A137:N137"/>
    <mergeCell ref="A138:A139"/>
    <mergeCell ref="B138:B139"/>
    <mergeCell ref="C138:C139"/>
    <mergeCell ref="D138:F138"/>
    <mergeCell ref="H138:J138"/>
    <mergeCell ref="K138:N138"/>
    <mergeCell ref="A120:N120"/>
    <mergeCell ref="A121:A122"/>
    <mergeCell ref="B121:B122"/>
    <mergeCell ref="C121:C122"/>
    <mergeCell ref="D121:F121"/>
    <mergeCell ref="H121:J121"/>
    <mergeCell ref="K121:N121"/>
    <mergeCell ref="A104:B104"/>
    <mergeCell ref="A107:N107"/>
    <mergeCell ref="A108:N108"/>
    <mergeCell ref="A110:N110"/>
    <mergeCell ref="A111:A112"/>
    <mergeCell ref="B111:B112"/>
    <mergeCell ref="C111:C112"/>
    <mergeCell ref="D111:F111"/>
    <mergeCell ref="H111:J111"/>
    <mergeCell ref="K111:N111"/>
    <mergeCell ref="A93:N93"/>
    <mergeCell ref="A94:A95"/>
    <mergeCell ref="B94:B95"/>
    <mergeCell ref="C94:C95"/>
    <mergeCell ref="D94:F94"/>
    <mergeCell ref="H94:J94"/>
    <mergeCell ref="K94:N94"/>
    <mergeCell ref="A79:B79"/>
    <mergeCell ref="A81:N81"/>
    <mergeCell ref="A82:N82"/>
    <mergeCell ref="A84:N84"/>
    <mergeCell ref="A85:A86"/>
    <mergeCell ref="B85:B86"/>
    <mergeCell ref="C85:C86"/>
    <mergeCell ref="D85:F85"/>
    <mergeCell ref="H85:J85"/>
    <mergeCell ref="K85:N85"/>
    <mergeCell ref="A68:N68"/>
    <mergeCell ref="A69:A70"/>
    <mergeCell ref="B69:B70"/>
    <mergeCell ref="C69:C70"/>
    <mergeCell ref="D69:F69"/>
    <mergeCell ref="H69:J69"/>
    <mergeCell ref="K69:N69"/>
    <mergeCell ref="A52:B52"/>
    <mergeCell ref="A55:N55"/>
    <mergeCell ref="A56:N56"/>
    <mergeCell ref="A58:N58"/>
    <mergeCell ref="A59:A60"/>
    <mergeCell ref="B59:B60"/>
    <mergeCell ref="C59:C60"/>
    <mergeCell ref="D59:F59"/>
    <mergeCell ref="H59:J59"/>
    <mergeCell ref="K59:N59"/>
    <mergeCell ref="A41:N41"/>
    <mergeCell ref="A42:A43"/>
    <mergeCell ref="B42:B43"/>
    <mergeCell ref="C42:C43"/>
    <mergeCell ref="D42:F42"/>
    <mergeCell ref="H42:J42"/>
    <mergeCell ref="K42:N42"/>
    <mergeCell ref="A32:N32"/>
    <mergeCell ref="A33:A34"/>
    <mergeCell ref="B33:B34"/>
    <mergeCell ref="C33:C34"/>
    <mergeCell ref="D33:F33"/>
    <mergeCell ref="H33:J33"/>
    <mergeCell ref="K33:N33"/>
    <mergeCell ref="A26:B26"/>
    <mergeCell ref="A1:N1"/>
    <mergeCell ref="A2:N2"/>
    <mergeCell ref="A29:N29"/>
    <mergeCell ref="A30:N30"/>
    <mergeCell ref="A4:N4"/>
    <mergeCell ref="A15:N15"/>
    <mergeCell ref="A16:A17"/>
    <mergeCell ref="B16:B17"/>
    <mergeCell ref="C16:C17"/>
    <mergeCell ref="D16:F16"/>
    <mergeCell ref="H16:J16"/>
    <mergeCell ref="K16:N16"/>
    <mergeCell ref="D5:F5"/>
    <mergeCell ref="H5:J5"/>
    <mergeCell ref="K5:N5"/>
    <mergeCell ref="A5:A6"/>
    <mergeCell ref="B5:B6"/>
    <mergeCell ref="C5:C6"/>
  </mergeCells>
  <pageMargins left="0.31496062992125984" right="0.31496062992125984" top="0.35433070866141736" bottom="0.35433070866141736" header="0.31496062992125984" footer="0.31496062992125984"/>
  <pageSetup paperSize="9" scale="85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62"/>
  <sheetViews>
    <sheetView showGridLines="0" topLeftCell="A2" workbookViewId="0">
      <selection activeCell="A23" sqref="A23"/>
    </sheetView>
  </sheetViews>
  <sheetFormatPr defaultRowHeight="18.75"/>
  <cols>
    <col min="1" max="1" width="12.5703125" style="1" customWidth="1"/>
    <col min="2" max="2" width="36" style="1" customWidth="1"/>
    <col min="3" max="3" width="11.42578125" style="1" customWidth="1"/>
    <col min="4" max="6" width="9.140625" style="1"/>
    <col min="7" max="7" width="11.85546875" style="1" customWidth="1"/>
    <col min="8" max="16384" width="9.140625" style="1"/>
  </cols>
  <sheetData>
    <row r="1" spans="1:15">
      <c r="A1" s="20" t="s">
        <v>175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5">
      <c r="A2" s="20" t="s">
        <v>165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5" ht="10.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5">
      <c r="A4" s="21" t="s">
        <v>1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5" ht="47.25">
      <c r="A5" s="22" t="s">
        <v>2</v>
      </c>
      <c r="B5" s="22" t="s">
        <v>3</v>
      </c>
      <c r="C5" s="23" t="s">
        <v>4</v>
      </c>
      <c r="D5" s="22" t="s">
        <v>16</v>
      </c>
      <c r="E5" s="24"/>
      <c r="F5" s="24"/>
      <c r="G5" s="18" t="s">
        <v>5</v>
      </c>
      <c r="H5" s="22" t="s">
        <v>7</v>
      </c>
      <c r="I5" s="22"/>
      <c r="J5" s="22"/>
      <c r="K5" s="22" t="s">
        <v>8</v>
      </c>
      <c r="L5" s="22"/>
      <c r="M5" s="22"/>
      <c r="N5" s="22"/>
      <c r="O5" s="2"/>
    </row>
    <row r="6" spans="1:15">
      <c r="A6" s="22"/>
      <c r="B6" s="22"/>
      <c r="C6" s="23"/>
      <c r="D6" s="7" t="s">
        <v>17</v>
      </c>
      <c r="E6" s="7" t="s">
        <v>18</v>
      </c>
      <c r="F6" s="7" t="s">
        <v>19</v>
      </c>
      <c r="G6" s="7" t="s">
        <v>6</v>
      </c>
      <c r="H6" s="7" t="s">
        <v>9</v>
      </c>
      <c r="I6" s="7" t="s">
        <v>10</v>
      </c>
      <c r="J6" s="7" t="s">
        <v>11</v>
      </c>
      <c r="K6" s="7" t="s">
        <v>12</v>
      </c>
      <c r="L6" s="7" t="s">
        <v>13</v>
      </c>
      <c r="M6" s="7" t="s">
        <v>14</v>
      </c>
      <c r="N6" s="7" t="s">
        <v>15</v>
      </c>
    </row>
    <row r="7" spans="1:15">
      <c r="A7" s="8" t="s">
        <v>20</v>
      </c>
      <c r="B7" s="8" t="s">
        <v>24</v>
      </c>
      <c r="C7" s="9">
        <v>10</v>
      </c>
      <c r="D7" s="9">
        <v>2.2999999999999998</v>
      </c>
      <c r="E7" s="9">
        <v>2.9</v>
      </c>
      <c r="F7" s="9">
        <v>0</v>
      </c>
      <c r="G7" s="7">
        <v>108</v>
      </c>
      <c r="H7" s="9">
        <v>0.01</v>
      </c>
      <c r="I7" s="9">
        <v>0.48</v>
      </c>
      <c r="J7" s="9">
        <v>7.0000000000000007E-2</v>
      </c>
      <c r="K7" s="9">
        <v>300</v>
      </c>
      <c r="L7" s="9">
        <v>162</v>
      </c>
      <c r="M7" s="9">
        <v>15</v>
      </c>
      <c r="N7" s="9">
        <v>0.33</v>
      </c>
    </row>
    <row r="8" spans="1:15">
      <c r="A8" s="8" t="s">
        <v>21</v>
      </c>
      <c r="B8" s="13" t="s">
        <v>25</v>
      </c>
      <c r="C8" s="9">
        <v>200</v>
      </c>
      <c r="D8" s="9">
        <v>8.19</v>
      </c>
      <c r="E8" s="9">
        <v>12.8</v>
      </c>
      <c r="F8" s="9">
        <v>42.47</v>
      </c>
      <c r="G8" s="7">
        <v>318</v>
      </c>
      <c r="H8" s="9">
        <v>0.23</v>
      </c>
      <c r="I8" s="9">
        <v>1.2</v>
      </c>
      <c r="J8" s="9">
        <v>7.0000000000000007E-2</v>
      </c>
      <c r="K8" s="9">
        <v>129.12</v>
      </c>
      <c r="L8" s="9">
        <v>197.6</v>
      </c>
      <c r="M8" s="9">
        <v>53.23</v>
      </c>
      <c r="N8" s="9">
        <v>1.43</v>
      </c>
    </row>
    <row r="9" spans="1:15">
      <c r="A9" s="8" t="s">
        <v>22</v>
      </c>
      <c r="B9" s="13" t="s">
        <v>26</v>
      </c>
      <c r="C9" s="9">
        <v>80</v>
      </c>
      <c r="D9" s="25">
        <f>1.53*0.8</f>
        <v>1.2240000000000002</v>
      </c>
      <c r="E9" s="25">
        <f>5.07*0.8</f>
        <v>4.056</v>
      </c>
      <c r="F9" s="25">
        <f>9.03*0.8</f>
        <v>7.2240000000000002</v>
      </c>
      <c r="G9" s="17">
        <f>86.67*0.8</f>
        <v>69.335999999999999</v>
      </c>
      <c r="H9" s="25">
        <f>0.02*0.8</f>
        <v>1.6E-2</v>
      </c>
      <c r="I9" s="25">
        <f>38.47*0.8</f>
        <v>30.776</v>
      </c>
      <c r="J9" s="25">
        <v>0</v>
      </c>
      <c r="K9" s="25">
        <f>51.62*0.8</f>
        <v>41.295999999999999</v>
      </c>
      <c r="L9" s="25">
        <f>27.03*0.8</f>
        <v>21.624000000000002</v>
      </c>
      <c r="M9" s="25">
        <f>14.63*0.8</f>
        <v>11.704000000000001</v>
      </c>
      <c r="N9" s="25">
        <f>0.62*0.8</f>
        <v>0.496</v>
      </c>
    </row>
    <row r="10" spans="1:15">
      <c r="A10" s="8" t="s">
        <v>23</v>
      </c>
      <c r="B10" s="8" t="s">
        <v>27</v>
      </c>
      <c r="C10" s="9">
        <v>200</v>
      </c>
      <c r="D10" s="9">
        <v>0</v>
      </c>
      <c r="E10" s="9">
        <v>0</v>
      </c>
      <c r="F10" s="9">
        <v>9.98</v>
      </c>
      <c r="G10" s="7">
        <v>119</v>
      </c>
      <c r="H10" s="9">
        <v>0</v>
      </c>
      <c r="I10" s="9">
        <v>0</v>
      </c>
      <c r="J10" s="9">
        <v>0</v>
      </c>
      <c r="K10" s="9">
        <v>0.2</v>
      </c>
      <c r="L10" s="9">
        <v>0</v>
      </c>
      <c r="M10" s="9">
        <v>0</v>
      </c>
      <c r="N10" s="9">
        <v>0.03</v>
      </c>
    </row>
    <row r="11" spans="1:15">
      <c r="A11" s="8"/>
      <c r="B11" s="8" t="s">
        <v>28</v>
      </c>
      <c r="C11" s="9">
        <v>40</v>
      </c>
      <c r="D11" s="25">
        <f>7.15*0.75</f>
        <v>5.3625000000000007</v>
      </c>
      <c r="E11" s="25">
        <f>4.075*0.75</f>
        <v>3.0562500000000004</v>
      </c>
      <c r="F11" s="25">
        <f>18.2*0.75</f>
        <v>13.649999999999999</v>
      </c>
      <c r="G11" s="17">
        <f>84.45*0.75</f>
        <v>63.337500000000006</v>
      </c>
      <c r="H11" s="25">
        <f>0.035*0.75</f>
        <v>2.6250000000000002E-2</v>
      </c>
      <c r="I11" s="25">
        <f>3.56*0.75</f>
        <v>2.67</v>
      </c>
      <c r="J11" s="25">
        <v>0</v>
      </c>
      <c r="K11" s="25">
        <f>9.8*0.75</f>
        <v>7.3500000000000005</v>
      </c>
      <c r="L11" s="25">
        <f>35.6*0.75</f>
        <v>26.700000000000003</v>
      </c>
      <c r="M11" s="25">
        <f>3.9*0.75</f>
        <v>2.9249999999999998</v>
      </c>
      <c r="N11" s="25">
        <f>0.16*0.75</f>
        <v>0.12</v>
      </c>
    </row>
    <row r="12" spans="1:15">
      <c r="A12" s="8"/>
      <c r="B12" s="8" t="s">
        <v>29</v>
      </c>
      <c r="C12" s="9">
        <v>200</v>
      </c>
      <c r="D12" s="9">
        <v>0.86</v>
      </c>
      <c r="E12" s="9">
        <v>0</v>
      </c>
      <c r="F12" s="9">
        <v>20.6</v>
      </c>
      <c r="G12" s="7">
        <v>94</v>
      </c>
      <c r="H12" s="9">
        <v>0.02</v>
      </c>
      <c r="I12" s="9">
        <v>26</v>
      </c>
      <c r="J12" s="9">
        <v>0</v>
      </c>
      <c r="K12" s="9">
        <v>32</v>
      </c>
      <c r="L12" s="9">
        <v>32</v>
      </c>
      <c r="M12" s="9">
        <v>18</v>
      </c>
      <c r="N12" s="9">
        <v>4.4000000000000004</v>
      </c>
    </row>
    <row r="13" spans="1:15">
      <c r="A13" s="8" t="s">
        <v>30</v>
      </c>
      <c r="B13" s="8"/>
      <c r="C13" s="9"/>
      <c r="D13" s="17">
        <f>SUM(D7:D12)</f>
        <v>17.936499999999999</v>
      </c>
      <c r="E13" s="17">
        <f t="shared" ref="E13:N13" si="0">SUM(E7:E12)</f>
        <v>22.812249999999999</v>
      </c>
      <c r="F13" s="17">
        <f t="shared" si="0"/>
        <v>93.924000000000007</v>
      </c>
      <c r="G13" s="17">
        <f t="shared" si="0"/>
        <v>771.67349999999999</v>
      </c>
      <c r="H13" s="17">
        <f t="shared" si="0"/>
        <v>0.30225000000000002</v>
      </c>
      <c r="I13" s="17">
        <f t="shared" si="0"/>
        <v>61.126000000000005</v>
      </c>
      <c r="J13" s="17">
        <f t="shared" si="0"/>
        <v>0.14000000000000001</v>
      </c>
      <c r="K13" s="17">
        <f t="shared" si="0"/>
        <v>509.96600000000001</v>
      </c>
      <c r="L13" s="17">
        <f t="shared" si="0"/>
        <v>439.92400000000004</v>
      </c>
      <c r="M13" s="17">
        <f t="shared" si="0"/>
        <v>100.85899999999999</v>
      </c>
      <c r="N13" s="17">
        <f t="shared" si="0"/>
        <v>6.8060000000000009</v>
      </c>
    </row>
    <row r="14" spans="1:15" ht="8.25" customHeight="1">
      <c r="A14" s="3"/>
      <c r="B14" s="3"/>
      <c r="C14" s="3"/>
      <c r="D14" s="3"/>
      <c r="E14" s="3"/>
      <c r="F14" s="3"/>
      <c r="G14" s="4"/>
      <c r="H14" s="3"/>
      <c r="I14" s="3"/>
      <c r="J14" s="3"/>
      <c r="K14" s="3"/>
      <c r="L14" s="3"/>
      <c r="M14" s="3"/>
      <c r="N14" s="3"/>
    </row>
    <row r="15" spans="1:15">
      <c r="A15" s="26" t="s">
        <v>31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1:15" ht="47.25">
      <c r="A16" s="22" t="s">
        <v>2</v>
      </c>
      <c r="B16" s="22" t="s">
        <v>3</v>
      </c>
      <c r="C16" s="23" t="s">
        <v>4</v>
      </c>
      <c r="D16" s="22" t="s">
        <v>16</v>
      </c>
      <c r="E16" s="24"/>
      <c r="F16" s="24"/>
      <c r="G16" s="18" t="s">
        <v>5</v>
      </c>
      <c r="H16" s="22" t="s">
        <v>7</v>
      </c>
      <c r="I16" s="22"/>
      <c r="J16" s="22"/>
      <c r="K16" s="22" t="s">
        <v>8</v>
      </c>
      <c r="L16" s="22"/>
      <c r="M16" s="22"/>
      <c r="N16" s="22"/>
    </row>
    <row r="17" spans="1:14">
      <c r="A17" s="22"/>
      <c r="B17" s="22"/>
      <c r="C17" s="23"/>
      <c r="D17" s="7" t="s">
        <v>17</v>
      </c>
      <c r="E17" s="7" t="s">
        <v>18</v>
      </c>
      <c r="F17" s="7" t="s">
        <v>19</v>
      </c>
      <c r="G17" s="7" t="s">
        <v>6</v>
      </c>
      <c r="H17" s="7" t="s">
        <v>9</v>
      </c>
      <c r="I17" s="7" t="s">
        <v>10</v>
      </c>
      <c r="J17" s="7" t="s">
        <v>11</v>
      </c>
      <c r="K17" s="7" t="s">
        <v>12</v>
      </c>
      <c r="L17" s="7" t="s">
        <v>13</v>
      </c>
      <c r="M17" s="7" t="s">
        <v>14</v>
      </c>
      <c r="N17" s="7" t="s">
        <v>15</v>
      </c>
    </row>
    <row r="18" spans="1:14">
      <c r="A18" s="8" t="s">
        <v>32</v>
      </c>
      <c r="B18" s="8" t="s">
        <v>36</v>
      </c>
      <c r="C18" s="9">
        <v>80</v>
      </c>
      <c r="D18" s="25">
        <f>1.45*0.8</f>
        <v>1.1599999999999999</v>
      </c>
      <c r="E18" s="25">
        <f>18.4*0.8</f>
        <v>14.719999999999999</v>
      </c>
      <c r="F18" s="25">
        <f>6.52*0.8</f>
        <v>5.2160000000000002</v>
      </c>
      <c r="G18" s="17">
        <f>196.67*0.8</f>
        <v>157.33600000000001</v>
      </c>
      <c r="H18" s="25">
        <f>0.03*0.8</f>
        <v>2.4E-2</v>
      </c>
      <c r="I18" s="25">
        <f>6.72*0.8</f>
        <v>5.3760000000000003</v>
      </c>
      <c r="J18" s="25">
        <v>0</v>
      </c>
      <c r="K18" s="25">
        <f>21.87*0.8</f>
        <v>17.496000000000002</v>
      </c>
      <c r="L18" s="25">
        <f>40.58*0.8</f>
        <v>32.463999999999999</v>
      </c>
      <c r="M18" s="25">
        <f>23.28*0.8</f>
        <v>18.624000000000002</v>
      </c>
      <c r="N18" s="25">
        <f>0.85*0.8</f>
        <v>0.68</v>
      </c>
    </row>
    <row r="19" spans="1:14">
      <c r="A19" s="8" t="s">
        <v>33</v>
      </c>
      <c r="B19" s="8" t="s">
        <v>37</v>
      </c>
      <c r="C19" s="9">
        <v>200</v>
      </c>
      <c r="D19" s="25">
        <f>5.48*0.8</f>
        <v>4.3840000000000003</v>
      </c>
      <c r="E19" s="25">
        <f>4.74*0.8</f>
        <v>3.7920000000000003</v>
      </c>
      <c r="F19" s="25">
        <f>19.74*0.8</f>
        <v>15.792</v>
      </c>
      <c r="G19" s="17">
        <f>146*0.8</f>
        <v>116.80000000000001</v>
      </c>
      <c r="H19" s="25">
        <f>0.23*0.8</f>
        <v>0.18400000000000002</v>
      </c>
      <c r="I19" s="25">
        <f>15.25*0.08</f>
        <v>1.22</v>
      </c>
      <c r="J19" s="25">
        <f>0.02*0.8</f>
        <v>1.6E-2</v>
      </c>
      <c r="K19" s="25">
        <f>43.84*0.8</f>
        <v>35.072000000000003</v>
      </c>
      <c r="L19" s="25">
        <f>109.4*0.8</f>
        <v>87.52000000000001</v>
      </c>
      <c r="M19" s="25">
        <f>40.3*0.8</f>
        <v>32.24</v>
      </c>
      <c r="N19" s="25">
        <f>2.02*0.8</f>
        <v>1.6160000000000001</v>
      </c>
    </row>
    <row r="20" spans="1:14">
      <c r="A20" s="8" t="s">
        <v>34</v>
      </c>
      <c r="B20" s="8" t="s">
        <v>38</v>
      </c>
      <c r="C20" s="9">
        <v>180</v>
      </c>
      <c r="D20" s="25">
        <v>4.57</v>
      </c>
      <c r="E20" s="25">
        <v>7.33</v>
      </c>
      <c r="F20" s="25">
        <v>46.33</v>
      </c>
      <c r="G20" s="17">
        <v>273.60000000000002</v>
      </c>
      <c r="H20" s="25">
        <v>0.04</v>
      </c>
      <c r="I20" s="25">
        <v>0</v>
      </c>
      <c r="J20" s="25">
        <v>0.04</v>
      </c>
      <c r="K20" s="25">
        <v>39.29</v>
      </c>
      <c r="L20" s="25">
        <v>98.74</v>
      </c>
      <c r="M20" s="25">
        <v>34.4</v>
      </c>
      <c r="N20" s="25">
        <v>0.92</v>
      </c>
    </row>
    <row r="21" spans="1:14" ht="23.25" customHeight="1">
      <c r="A21" s="8" t="s">
        <v>180</v>
      </c>
      <c r="B21" s="13" t="s">
        <v>181</v>
      </c>
      <c r="C21" s="9">
        <v>80</v>
      </c>
      <c r="D21" s="25">
        <v>12.5</v>
      </c>
      <c r="E21" s="25">
        <v>7.16</v>
      </c>
      <c r="F21" s="25">
        <v>8.2100000000000009</v>
      </c>
      <c r="G21" s="17">
        <v>236.8</v>
      </c>
      <c r="H21" s="25">
        <v>0.21</v>
      </c>
      <c r="I21" s="25">
        <v>0.23</v>
      </c>
      <c r="J21" s="25">
        <v>0.03</v>
      </c>
      <c r="K21" s="25">
        <v>19.21</v>
      </c>
      <c r="L21" s="25">
        <v>128.69999999999999</v>
      </c>
      <c r="M21" s="25">
        <v>24.95</v>
      </c>
      <c r="N21" s="25">
        <v>1.44</v>
      </c>
    </row>
    <row r="22" spans="1:14">
      <c r="A22" s="8" t="s">
        <v>35</v>
      </c>
      <c r="B22" s="3" t="s">
        <v>39</v>
      </c>
      <c r="C22" s="9" t="s">
        <v>41</v>
      </c>
      <c r="D22" s="25">
        <v>0.26</v>
      </c>
      <c r="E22" s="25">
        <v>0.05</v>
      </c>
      <c r="F22" s="25">
        <v>15.22</v>
      </c>
      <c r="G22" s="17">
        <v>59</v>
      </c>
      <c r="H22" s="25">
        <v>0</v>
      </c>
      <c r="I22" s="25">
        <v>2.9</v>
      </c>
      <c r="J22" s="25">
        <v>0</v>
      </c>
      <c r="K22" s="25">
        <v>8.0500000000000007</v>
      </c>
      <c r="L22" s="25">
        <v>9.7799999999999994</v>
      </c>
      <c r="M22" s="25">
        <v>5.24</v>
      </c>
      <c r="N22" s="25">
        <v>0.9</v>
      </c>
    </row>
    <row r="23" spans="1:14">
      <c r="A23" s="8"/>
      <c r="B23" s="8" t="s">
        <v>28</v>
      </c>
      <c r="C23" s="9">
        <f>60*0.75</f>
        <v>45</v>
      </c>
      <c r="D23" s="25">
        <f>8.58*0.75</f>
        <v>6.4350000000000005</v>
      </c>
      <c r="E23" s="25">
        <f>4.89*0.75</f>
        <v>3.6674999999999995</v>
      </c>
      <c r="F23" s="25">
        <f>21.84*0.75</f>
        <v>16.38</v>
      </c>
      <c r="G23" s="17">
        <f>101.34*0.75</f>
        <v>76.004999999999995</v>
      </c>
      <c r="H23" s="25">
        <f>0.042*0.75</f>
        <v>3.15E-2</v>
      </c>
      <c r="I23" s="25">
        <f>4.272*0.75</f>
        <v>3.2040000000000002</v>
      </c>
      <c r="J23" s="25">
        <v>0</v>
      </c>
      <c r="K23" s="25">
        <f>11.76*0.75</f>
        <v>8.82</v>
      </c>
      <c r="L23" s="25">
        <f>42.72*0.75</f>
        <v>32.04</v>
      </c>
      <c r="M23" s="25">
        <f>4.68*0.75</f>
        <v>3.51</v>
      </c>
      <c r="N23" s="25">
        <f>0.192*0.75</f>
        <v>0.14400000000000002</v>
      </c>
    </row>
    <row r="24" spans="1:14">
      <c r="A24" s="8"/>
      <c r="B24" s="8" t="s">
        <v>40</v>
      </c>
      <c r="C24" s="9">
        <v>40</v>
      </c>
      <c r="D24" s="25">
        <f>2.898*0.67</f>
        <v>1.9416600000000002</v>
      </c>
      <c r="E24" s="25">
        <f>0.504*0.67</f>
        <v>0.33768000000000004</v>
      </c>
      <c r="F24" s="25">
        <f>24.138*0.67</f>
        <v>16.172460000000001</v>
      </c>
      <c r="G24" s="17">
        <f>115.56*0.67</f>
        <v>77.425200000000004</v>
      </c>
      <c r="H24" s="25">
        <f>0.09*0.67</f>
        <v>6.0299999999999999E-2</v>
      </c>
      <c r="I24" s="25">
        <v>0</v>
      </c>
      <c r="J24" s="25">
        <v>0</v>
      </c>
      <c r="K24" s="25">
        <f>21.6*0.67</f>
        <v>14.472000000000001</v>
      </c>
      <c r="L24" s="25">
        <f>1.308*0.67</f>
        <v>0.87636000000000014</v>
      </c>
      <c r="M24" s="25">
        <f>13.38*0.67</f>
        <v>8.9646000000000008</v>
      </c>
      <c r="N24" s="25">
        <f>2.04*0.67</f>
        <v>1.3668</v>
      </c>
    </row>
    <row r="25" spans="1:14">
      <c r="A25" s="8" t="s">
        <v>30</v>
      </c>
      <c r="B25" s="8"/>
      <c r="C25" s="9"/>
      <c r="D25" s="17">
        <f>SUM(D18:D24)</f>
        <v>31.250660000000003</v>
      </c>
      <c r="E25" s="17">
        <f t="shared" ref="E25:N25" si="1">SUM(E18:E24)</f>
        <v>37.057179999999988</v>
      </c>
      <c r="F25" s="17">
        <f t="shared" si="1"/>
        <v>123.32046</v>
      </c>
      <c r="G25" s="17">
        <f t="shared" si="1"/>
        <v>996.96620000000007</v>
      </c>
      <c r="H25" s="17">
        <f t="shared" si="1"/>
        <v>0.54980000000000007</v>
      </c>
      <c r="I25" s="17">
        <f t="shared" si="1"/>
        <v>12.930000000000001</v>
      </c>
      <c r="J25" s="17">
        <f t="shared" si="1"/>
        <v>8.5999999999999993E-2</v>
      </c>
      <c r="K25" s="17">
        <f t="shared" si="1"/>
        <v>142.41000000000003</v>
      </c>
      <c r="L25" s="17">
        <f t="shared" si="1"/>
        <v>390.12035999999995</v>
      </c>
      <c r="M25" s="17">
        <f t="shared" si="1"/>
        <v>127.92860000000002</v>
      </c>
      <c r="N25" s="17">
        <f t="shared" si="1"/>
        <v>7.0668000000000006</v>
      </c>
    </row>
    <row r="26" spans="1:14">
      <c r="A26" s="27" t="s">
        <v>42</v>
      </c>
      <c r="B26" s="27"/>
      <c r="C26" s="8"/>
      <c r="D26" s="8"/>
      <c r="E26" s="8"/>
      <c r="F26" s="8"/>
      <c r="G26" s="15">
        <f>G13+G25</f>
        <v>1768.6397000000002</v>
      </c>
      <c r="H26" s="8"/>
      <c r="I26" s="8"/>
      <c r="J26" s="8"/>
      <c r="K26" s="8"/>
      <c r="L26" s="8"/>
      <c r="M26" s="8"/>
      <c r="N26" s="8"/>
    </row>
    <row r="27" spans="1:14" hidden="1"/>
    <row r="28" spans="1:14" hidden="1"/>
    <row r="29" spans="1:14">
      <c r="A29" s="20" t="s">
        <v>175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0" spans="1:14">
      <c r="A30" s="20" t="s">
        <v>166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</row>
    <row r="31" spans="1:14" ht="6.75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</row>
    <row r="32" spans="1:14">
      <c r="A32" s="21" t="s">
        <v>1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</row>
    <row r="33" spans="1:15" ht="47.25">
      <c r="A33" s="22" t="s">
        <v>2</v>
      </c>
      <c r="B33" s="22" t="s">
        <v>3</v>
      </c>
      <c r="C33" s="23" t="s">
        <v>4</v>
      </c>
      <c r="D33" s="22" t="s">
        <v>16</v>
      </c>
      <c r="E33" s="24"/>
      <c r="F33" s="24"/>
      <c r="G33" s="18" t="s">
        <v>5</v>
      </c>
      <c r="H33" s="22" t="s">
        <v>7</v>
      </c>
      <c r="I33" s="22"/>
      <c r="J33" s="22"/>
      <c r="K33" s="22" t="s">
        <v>8</v>
      </c>
      <c r="L33" s="22"/>
      <c r="M33" s="22"/>
      <c r="N33" s="22"/>
      <c r="O33" s="2"/>
    </row>
    <row r="34" spans="1:15">
      <c r="A34" s="22"/>
      <c r="B34" s="22"/>
      <c r="C34" s="23"/>
      <c r="D34" s="7" t="s">
        <v>17</v>
      </c>
      <c r="E34" s="7" t="s">
        <v>18</v>
      </c>
      <c r="F34" s="7" t="s">
        <v>19</v>
      </c>
      <c r="G34" s="7" t="s">
        <v>6</v>
      </c>
      <c r="H34" s="7" t="s">
        <v>9</v>
      </c>
      <c r="I34" s="7" t="s">
        <v>10</v>
      </c>
      <c r="J34" s="7" t="s">
        <v>11</v>
      </c>
      <c r="K34" s="7" t="s">
        <v>12</v>
      </c>
      <c r="L34" s="7" t="s">
        <v>13</v>
      </c>
      <c r="M34" s="7" t="s">
        <v>14</v>
      </c>
      <c r="N34" s="7" t="s">
        <v>15</v>
      </c>
    </row>
    <row r="35" spans="1:15">
      <c r="A35" s="8" t="s">
        <v>44</v>
      </c>
      <c r="B35" s="8" t="s">
        <v>47</v>
      </c>
      <c r="C35" s="9">
        <v>200</v>
      </c>
      <c r="D35" s="9">
        <v>5.87</v>
      </c>
      <c r="E35" s="9">
        <v>12.04</v>
      </c>
      <c r="F35" s="9">
        <v>33.159999999999997</v>
      </c>
      <c r="G35" s="7">
        <v>264</v>
      </c>
      <c r="H35" s="9">
        <v>0.12</v>
      </c>
      <c r="I35" s="9">
        <v>1.23</v>
      </c>
      <c r="J35" s="9">
        <v>7.0000000000000007E-2</v>
      </c>
      <c r="K35" s="9">
        <v>129.12</v>
      </c>
      <c r="L35" s="9">
        <v>152.69999999999999</v>
      </c>
      <c r="M35" s="9">
        <v>36.32</v>
      </c>
      <c r="N35" s="9">
        <v>0.79</v>
      </c>
    </row>
    <row r="36" spans="1:15">
      <c r="A36" s="8" t="s">
        <v>45</v>
      </c>
      <c r="B36" s="8" t="s">
        <v>48</v>
      </c>
      <c r="C36" s="9">
        <v>200</v>
      </c>
      <c r="D36" s="9">
        <v>1.4</v>
      </c>
      <c r="E36" s="9">
        <v>1.6</v>
      </c>
      <c r="F36" s="9">
        <v>22.31</v>
      </c>
      <c r="G36" s="7">
        <v>105</v>
      </c>
      <c r="H36" s="9">
        <v>0.02</v>
      </c>
      <c r="I36" s="9">
        <v>0.65</v>
      </c>
      <c r="J36" s="9">
        <v>0.01</v>
      </c>
      <c r="K36" s="9">
        <v>51.62</v>
      </c>
      <c r="L36" s="9">
        <v>45</v>
      </c>
      <c r="M36" s="9">
        <v>7</v>
      </c>
      <c r="N36" s="9">
        <v>0.09</v>
      </c>
    </row>
    <row r="37" spans="1:15">
      <c r="A37" s="8" t="s">
        <v>46</v>
      </c>
      <c r="B37" s="8" t="s">
        <v>49</v>
      </c>
      <c r="C37" s="9">
        <v>80</v>
      </c>
      <c r="D37" s="25">
        <f>2.32*0.8</f>
        <v>1.8559999999999999</v>
      </c>
      <c r="E37" s="25">
        <f>10.1</f>
        <v>10.1</v>
      </c>
      <c r="F37" s="25">
        <f>5.83*0.8</f>
        <v>4.6640000000000006</v>
      </c>
      <c r="G37" s="17">
        <f>120*0.8</f>
        <v>96</v>
      </c>
      <c r="H37" s="25">
        <f>0.03*0.8</f>
        <v>2.4E-2</v>
      </c>
      <c r="I37" s="25">
        <f>7.32*0.8</f>
        <v>5.8560000000000008</v>
      </c>
      <c r="J37" s="25">
        <v>0</v>
      </c>
      <c r="K37" s="25">
        <f>0.2*0.8</f>
        <v>0.16000000000000003</v>
      </c>
      <c r="L37" s="25">
        <f>31.98*0.8</f>
        <v>25.584000000000003</v>
      </c>
      <c r="M37" s="25">
        <f>15.38*0.8</f>
        <v>12.304000000000002</v>
      </c>
      <c r="N37" s="25">
        <f>0.77*0.8</f>
        <v>0.6160000000000001</v>
      </c>
    </row>
    <row r="38" spans="1:15">
      <c r="A38" s="8"/>
      <c r="B38" s="8" t="s">
        <v>28</v>
      </c>
      <c r="C38" s="9">
        <f>50*0.75</f>
        <v>37.5</v>
      </c>
      <c r="D38" s="25">
        <f>7.15*0.75</f>
        <v>5.3625000000000007</v>
      </c>
      <c r="E38" s="25">
        <f>4.075*0.75</f>
        <v>3.0562500000000004</v>
      </c>
      <c r="F38" s="25">
        <f>18.2*0.75</f>
        <v>13.649999999999999</v>
      </c>
      <c r="G38" s="17">
        <f>84.45*0.75</f>
        <v>63.337500000000006</v>
      </c>
      <c r="H38" s="25">
        <f>0.035*0.75</f>
        <v>2.6250000000000002E-2</v>
      </c>
      <c r="I38" s="25">
        <f>3.56*0.75</f>
        <v>2.67</v>
      </c>
      <c r="J38" s="25">
        <v>0</v>
      </c>
      <c r="K38" s="25">
        <f>9.8*0.75</f>
        <v>7.3500000000000005</v>
      </c>
      <c r="L38" s="25">
        <f>35.6*0.75</f>
        <v>26.700000000000003</v>
      </c>
      <c r="M38" s="25">
        <f>3.9*0.75</f>
        <v>2.9249999999999998</v>
      </c>
      <c r="N38" s="25">
        <f>0.16*0.75</f>
        <v>0.12</v>
      </c>
    </row>
    <row r="39" spans="1:15">
      <c r="A39" s="8" t="s">
        <v>30</v>
      </c>
      <c r="B39" s="8"/>
      <c r="C39" s="9"/>
      <c r="D39" s="17">
        <f t="shared" ref="D39:N39" si="2">SUM(D35:D38)</f>
        <v>14.4885</v>
      </c>
      <c r="E39" s="17">
        <f t="shared" si="2"/>
        <v>26.796250000000001</v>
      </c>
      <c r="F39" s="17">
        <f t="shared" si="2"/>
        <v>73.783999999999992</v>
      </c>
      <c r="G39" s="17">
        <f t="shared" si="2"/>
        <v>528.33749999999998</v>
      </c>
      <c r="H39" s="17">
        <f t="shared" si="2"/>
        <v>0.19024999999999997</v>
      </c>
      <c r="I39" s="17">
        <f t="shared" si="2"/>
        <v>10.406000000000001</v>
      </c>
      <c r="J39" s="17">
        <f t="shared" si="2"/>
        <v>0.08</v>
      </c>
      <c r="K39" s="17">
        <f t="shared" si="2"/>
        <v>188.25</v>
      </c>
      <c r="L39" s="17">
        <f t="shared" si="2"/>
        <v>249.98399999999998</v>
      </c>
      <c r="M39" s="17">
        <f t="shared" si="2"/>
        <v>58.548999999999999</v>
      </c>
      <c r="N39" s="17">
        <f t="shared" si="2"/>
        <v>1.6160000000000001</v>
      </c>
    </row>
    <row r="40" spans="1:15" ht="8.25" customHeight="1">
      <c r="A40" s="3"/>
      <c r="B40" s="3"/>
      <c r="C40" s="3"/>
      <c r="D40" s="3"/>
      <c r="E40" s="3"/>
      <c r="F40" s="3"/>
      <c r="G40" s="4"/>
      <c r="H40" s="3"/>
      <c r="I40" s="3"/>
      <c r="J40" s="3"/>
      <c r="K40" s="3"/>
      <c r="L40" s="3"/>
      <c r="M40" s="3"/>
      <c r="N40" s="3"/>
    </row>
    <row r="41" spans="1:15">
      <c r="A41" s="26" t="s">
        <v>31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</row>
    <row r="42" spans="1:15" ht="47.25">
      <c r="A42" s="22" t="s">
        <v>2</v>
      </c>
      <c r="B42" s="22" t="s">
        <v>3</v>
      </c>
      <c r="C42" s="23" t="s">
        <v>4</v>
      </c>
      <c r="D42" s="22" t="s">
        <v>16</v>
      </c>
      <c r="E42" s="24"/>
      <c r="F42" s="24"/>
      <c r="G42" s="18" t="s">
        <v>5</v>
      </c>
      <c r="H42" s="22" t="s">
        <v>7</v>
      </c>
      <c r="I42" s="22"/>
      <c r="J42" s="22"/>
      <c r="K42" s="22" t="s">
        <v>8</v>
      </c>
      <c r="L42" s="22"/>
      <c r="M42" s="22"/>
      <c r="N42" s="22"/>
    </row>
    <row r="43" spans="1:15">
      <c r="A43" s="22"/>
      <c r="B43" s="22"/>
      <c r="C43" s="23"/>
      <c r="D43" s="7" t="s">
        <v>17</v>
      </c>
      <c r="E43" s="7" t="s">
        <v>18</v>
      </c>
      <c r="F43" s="7" t="s">
        <v>19</v>
      </c>
      <c r="G43" s="7" t="s">
        <v>6</v>
      </c>
      <c r="H43" s="7" t="s">
        <v>9</v>
      </c>
      <c r="I43" s="7" t="s">
        <v>10</v>
      </c>
      <c r="J43" s="7" t="s">
        <v>11</v>
      </c>
      <c r="K43" s="7" t="s">
        <v>12</v>
      </c>
      <c r="L43" s="7" t="s">
        <v>13</v>
      </c>
      <c r="M43" s="7" t="s">
        <v>14</v>
      </c>
      <c r="N43" s="7" t="s">
        <v>15</v>
      </c>
    </row>
    <row r="44" spans="1:15">
      <c r="A44" s="8" t="s">
        <v>50</v>
      </c>
      <c r="B44" s="8" t="s">
        <v>55</v>
      </c>
      <c r="C44" s="9">
        <v>80</v>
      </c>
      <c r="D44" s="25">
        <f>0.92*0.8</f>
        <v>0.7360000000000001</v>
      </c>
      <c r="E44" s="25">
        <f>0.16*0.8</f>
        <v>0.128</v>
      </c>
      <c r="F44" s="25">
        <f>5.91*0.8</f>
        <v>4.7280000000000006</v>
      </c>
      <c r="G44" s="17">
        <f>29.33*0.8</f>
        <v>23.463999999999999</v>
      </c>
      <c r="H44" s="25">
        <f>0.03*0.8</f>
        <v>2.4E-2</v>
      </c>
      <c r="I44" s="25">
        <f>28.67*0.8</f>
        <v>22.936000000000003</v>
      </c>
      <c r="J44" s="25">
        <v>0</v>
      </c>
      <c r="K44" s="25">
        <f>28.67*0.8</f>
        <v>22.936000000000003</v>
      </c>
      <c r="L44" s="25">
        <f>23.39*0.8</f>
        <v>18.712</v>
      </c>
      <c r="M44" s="25">
        <f>14*0.8</f>
        <v>11.200000000000001</v>
      </c>
      <c r="N44" s="25">
        <f>1.03*0.8</f>
        <v>0.82400000000000007</v>
      </c>
    </row>
    <row r="45" spans="1:15">
      <c r="A45" s="8" t="s">
        <v>51</v>
      </c>
      <c r="B45" s="8" t="s">
        <v>56</v>
      </c>
      <c r="C45" s="9">
        <v>200</v>
      </c>
      <c r="D45" s="25">
        <f>2.05*0.8</f>
        <v>1.64</v>
      </c>
      <c r="E45" s="25">
        <f>5.25*0.8</f>
        <v>4.2</v>
      </c>
      <c r="F45" s="25">
        <f>7.25*0.8</f>
        <v>5.8000000000000007</v>
      </c>
      <c r="G45" s="17">
        <f>85*0.8</f>
        <v>68</v>
      </c>
      <c r="H45" s="25">
        <f>0.06*0.8</f>
        <v>4.8000000000000001E-2</v>
      </c>
      <c r="I45" s="25">
        <f>49.94*0.8</f>
        <v>39.951999999999998</v>
      </c>
      <c r="J45" s="25">
        <f>0.03*0.8</f>
        <v>2.4E-2</v>
      </c>
      <c r="K45" s="25">
        <f>49.94*0.8</f>
        <v>39.951999999999998</v>
      </c>
      <c r="L45" s="25">
        <f>42.7*0.8</f>
        <v>34.160000000000004</v>
      </c>
      <c r="M45" s="25">
        <f>18.52*0.8</f>
        <v>14.816000000000001</v>
      </c>
      <c r="N45" s="25">
        <f>0.76*0.8</f>
        <v>0.6080000000000001</v>
      </c>
    </row>
    <row r="46" spans="1:15">
      <c r="A46" s="8" t="s">
        <v>52</v>
      </c>
      <c r="B46" s="8" t="s">
        <v>57</v>
      </c>
      <c r="C46" s="9">
        <v>100</v>
      </c>
      <c r="D46" s="25">
        <v>2.37</v>
      </c>
      <c r="E46" s="25">
        <v>3.02</v>
      </c>
      <c r="F46" s="25">
        <v>10.06</v>
      </c>
      <c r="G46" s="17">
        <v>253.8</v>
      </c>
      <c r="H46" s="25">
        <v>0.14000000000000001</v>
      </c>
      <c r="I46" s="25">
        <v>0</v>
      </c>
      <c r="J46" s="25">
        <v>0.04</v>
      </c>
      <c r="K46" s="25">
        <v>41.94</v>
      </c>
      <c r="L46" s="25">
        <v>72.069999999999993</v>
      </c>
      <c r="M46" s="25">
        <v>29.51</v>
      </c>
      <c r="N46" s="25">
        <v>1.19</v>
      </c>
    </row>
    <row r="47" spans="1:15">
      <c r="A47" s="8" t="s">
        <v>53</v>
      </c>
      <c r="B47" s="8" t="s">
        <v>58</v>
      </c>
      <c r="C47" s="9" t="s">
        <v>60</v>
      </c>
      <c r="D47" s="25">
        <v>11.3</v>
      </c>
      <c r="E47" s="25">
        <v>14.91</v>
      </c>
      <c r="F47" s="25">
        <v>21.8</v>
      </c>
      <c r="G47" s="17">
        <v>327.5</v>
      </c>
      <c r="H47" s="25">
        <v>0.35</v>
      </c>
      <c r="I47" s="25">
        <v>10.25</v>
      </c>
      <c r="J47" s="25">
        <v>0.01</v>
      </c>
      <c r="K47" s="25">
        <v>61.91</v>
      </c>
      <c r="L47" s="25">
        <v>164</v>
      </c>
      <c r="M47" s="25">
        <v>56.09</v>
      </c>
      <c r="N47" s="25">
        <v>2.0099999999999998</v>
      </c>
    </row>
    <row r="48" spans="1:15">
      <c r="A48" s="8" t="s">
        <v>54</v>
      </c>
      <c r="B48" s="3" t="s">
        <v>59</v>
      </c>
      <c r="C48" s="9">
        <v>200</v>
      </c>
      <c r="D48" s="25">
        <v>0.1</v>
      </c>
      <c r="E48" s="25">
        <v>0</v>
      </c>
      <c r="F48" s="25">
        <v>27.88</v>
      </c>
      <c r="G48" s="17">
        <v>110</v>
      </c>
      <c r="H48" s="25">
        <v>0</v>
      </c>
      <c r="I48" s="25">
        <v>3</v>
      </c>
      <c r="J48" s="25">
        <v>0</v>
      </c>
      <c r="K48" s="25">
        <v>6.8</v>
      </c>
      <c r="L48" s="25">
        <v>9.1300000000000008</v>
      </c>
      <c r="M48" s="25">
        <v>1.6</v>
      </c>
      <c r="N48" s="25">
        <v>0.18</v>
      </c>
    </row>
    <row r="49" spans="1:15">
      <c r="A49" s="8"/>
      <c r="B49" s="8" t="s">
        <v>28</v>
      </c>
      <c r="C49" s="9">
        <f>60*0.75</f>
        <v>45</v>
      </c>
      <c r="D49" s="25">
        <f>8.58*0.75</f>
        <v>6.4350000000000005</v>
      </c>
      <c r="E49" s="25">
        <f>4.89*0.75</f>
        <v>3.6674999999999995</v>
      </c>
      <c r="F49" s="25">
        <f>21.84*0.75</f>
        <v>16.38</v>
      </c>
      <c r="G49" s="17">
        <f>101.34*0.75</f>
        <v>76.004999999999995</v>
      </c>
      <c r="H49" s="25">
        <f>0.042*0.75</f>
        <v>3.15E-2</v>
      </c>
      <c r="I49" s="25">
        <f>4.272*0.75</f>
        <v>3.2040000000000002</v>
      </c>
      <c r="J49" s="25">
        <v>0</v>
      </c>
      <c r="K49" s="25">
        <f>11.76*0.75</f>
        <v>8.82</v>
      </c>
      <c r="L49" s="25">
        <f>42.72*0.75</f>
        <v>32.04</v>
      </c>
      <c r="M49" s="25">
        <f>4.68*0.75</f>
        <v>3.51</v>
      </c>
      <c r="N49" s="25">
        <f>0.192*0.75</f>
        <v>0.14400000000000002</v>
      </c>
    </row>
    <row r="50" spans="1:15">
      <c r="A50" s="8"/>
      <c r="B50" s="8" t="s">
        <v>40</v>
      </c>
      <c r="C50" s="9">
        <v>40</v>
      </c>
      <c r="D50" s="25">
        <f>2.898*0.67</f>
        <v>1.9416600000000002</v>
      </c>
      <c r="E50" s="25">
        <f>0.504*0.67</f>
        <v>0.33768000000000004</v>
      </c>
      <c r="F50" s="25">
        <f>24.138*0.67</f>
        <v>16.172460000000001</v>
      </c>
      <c r="G50" s="17">
        <f>115.56*0.67</f>
        <v>77.425200000000004</v>
      </c>
      <c r="H50" s="25">
        <f>0.09*0.67</f>
        <v>6.0299999999999999E-2</v>
      </c>
      <c r="I50" s="25">
        <v>0</v>
      </c>
      <c r="J50" s="25">
        <v>0</v>
      </c>
      <c r="K50" s="25">
        <f>21.6*0.67</f>
        <v>14.472000000000001</v>
      </c>
      <c r="L50" s="25">
        <f>1.308*0.67</f>
        <v>0.87636000000000014</v>
      </c>
      <c r="M50" s="25">
        <f>13.38*0.67</f>
        <v>8.9646000000000008</v>
      </c>
      <c r="N50" s="25">
        <f>2.04*0.67</f>
        <v>1.3668</v>
      </c>
    </row>
    <row r="51" spans="1:15">
      <c r="A51" s="15" t="s">
        <v>30</v>
      </c>
      <c r="B51" s="15"/>
      <c r="C51" s="7"/>
      <c r="D51" s="17">
        <f>SUM(D44:D50)</f>
        <v>24.522660000000002</v>
      </c>
      <c r="E51" s="17">
        <f t="shared" ref="E51:N51" si="3">SUM(E44:E50)</f>
        <v>26.263180000000002</v>
      </c>
      <c r="F51" s="17">
        <f t="shared" si="3"/>
        <v>102.82046</v>
      </c>
      <c r="G51" s="17">
        <f t="shared" si="3"/>
        <v>936.19420000000002</v>
      </c>
      <c r="H51" s="17">
        <f t="shared" si="3"/>
        <v>0.65380000000000005</v>
      </c>
      <c r="I51" s="17">
        <f t="shared" si="3"/>
        <v>79.341999999999999</v>
      </c>
      <c r="J51" s="17">
        <f t="shared" si="3"/>
        <v>7.3999999999999996E-2</v>
      </c>
      <c r="K51" s="17">
        <f t="shared" si="3"/>
        <v>196.83</v>
      </c>
      <c r="L51" s="17">
        <f t="shared" si="3"/>
        <v>330.98836</v>
      </c>
      <c r="M51" s="17">
        <f t="shared" si="3"/>
        <v>125.69060000000002</v>
      </c>
      <c r="N51" s="17">
        <f t="shared" si="3"/>
        <v>6.3227999999999991</v>
      </c>
    </row>
    <row r="52" spans="1:15">
      <c r="A52" s="27" t="s">
        <v>42</v>
      </c>
      <c r="B52" s="27"/>
      <c r="C52" s="8"/>
      <c r="D52" s="8"/>
      <c r="E52" s="8"/>
      <c r="F52" s="8"/>
      <c r="G52" s="15">
        <f>G39+G51</f>
        <v>1464.5317</v>
      </c>
      <c r="H52" s="8"/>
      <c r="I52" s="8"/>
      <c r="J52" s="8"/>
      <c r="K52" s="8"/>
      <c r="L52" s="8"/>
      <c r="M52" s="8"/>
      <c r="N52" s="8"/>
    </row>
    <row r="53" spans="1:15" hidden="1"/>
    <row r="54" spans="1:15" hidden="1"/>
    <row r="55" spans="1:15">
      <c r="A55" s="20" t="s">
        <v>175</v>
      </c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</row>
    <row r="56" spans="1:15">
      <c r="A56" s="20" t="s">
        <v>167</v>
      </c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</row>
    <row r="57" spans="1:15" ht="10.5" customHeight="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</row>
    <row r="58" spans="1:15">
      <c r="A58" s="21" t="s">
        <v>1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</row>
    <row r="59" spans="1:15" ht="47.25">
      <c r="A59" s="22" t="s">
        <v>2</v>
      </c>
      <c r="B59" s="22" t="s">
        <v>3</v>
      </c>
      <c r="C59" s="23" t="s">
        <v>4</v>
      </c>
      <c r="D59" s="22" t="s">
        <v>16</v>
      </c>
      <c r="E59" s="24"/>
      <c r="F59" s="24"/>
      <c r="G59" s="18" t="s">
        <v>5</v>
      </c>
      <c r="H59" s="22" t="s">
        <v>7</v>
      </c>
      <c r="I59" s="22"/>
      <c r="J59" s="22"/>
      <c r="K59" s="22" t="s">
        <v>8</v>
      </c>
      <c r="L59" s="22"/>
      <c r="M59" s="22"/>
      <c r="N59" s="22"/>
      <c r="O59" s="2"/>
    </row>
    <row r="60" spans="1:15">
      <c r="A60" s="22"/>
      <c r="B60" s="22"/>
      <c r="C60" s="23"/>
      <c r="D60" s="7" t="s">
        <v>17</v>
      </c>
      <c r="E60" s="7" t="s">
        <v>18</v>
      </c>
      <c r="F60" s="7" t="s">
        <v>19</v>
      </c>
      <c r="G60" s="7" t="s">
        <v>6</v>
      </c>
      <c r="H60" s="7" t="s">
        <v>9</v>
      </c>
      <c r="I60" s="7" t="s">
        <v>10</v>
      </c>
      <c r="J60" s="7" t="s">
        <v>11</v>
      </c>
      <c r="K60" s="7" t="s">
        <v>12</v>
      </c>
      <c r="L60" s="7" t="s">
        <v>13</v>
      </c>
      <c r="M60" s="7" t="s">
        <v>14</v>
      </c>
      <c r="N60" s="7" t="s">
        <v>15</v>
      </c>
    </row>
    <row r="61" spans="1:15" ht="32.25">
      <c r="A61" s="14" t="s">
        <v>62</v>
      </c>
      <c r="B61" s="13" t="s">
        <v>179</v>
      </c>
      <c r="C61" s="9" t="s">
        <v>68</v>
      </c>
      <c r="D61" s="9">
        <v>36.5</v>
      </c>
      <c r="E61" s="9">
        <v>14.78</v>
      </c>
      <c r="F61" s="9">
        <v>64.510000000000005</v>
      </c>
      <c r="G61" s="7">
        <v>678</v>
      </c>
      <c r="H61" s="9">
        <v>0.15</v>
      </c>
      <c r="I61" s="9">
        <v>1.55</v>
      </c>
      <c r="J61" s="9">
        <v>0.19</v>
      </c>
      <c r="K61" s="9">
        <v>508.36</v>
      </c>
      <c r="L61" s="9">
        <v>577</v>
      </c>
      <c r="M61" s="9">
        <v>70.27</v>
      </c>
      <c r="N61" s="9">
        <v>1.44</v>
      </c>
    </row>
    <row r="62" spans="1:15">
      <c r="A62" s="8" t="s">
        <v>63</v>
      </c>
      <c r="B62" s="8" t="s">
        <v>65</v>
      </c>
      <c r="C62" s="9" t="s">
        <v>41</v>
      </c>
      <c r="D62" s="9">
        <v>0.2</v>
      </c>
      <c r="E62" s="9">
        <v>0.05</v>
      </c>
      <c r="F62" s="9">
        <v>15.01</v>
      </c>
      <c r="G62" s="7">
        <v>57</v>
      </c>
      <c r="H62" s="9">
        <v>0</v>
      </c>
      <c r="I62" s="9">
        <v>0.1</v>
      </c>
      <c r="J62" s="9">
        <v>0</v>
      </c>
      <c r="K62" s="9">
        <v>5.25</v>
      </c>
      <c r="L62" s="9">
        <v>8.24</v>
      </c>
      <c r="M62" s="9">
        <v>4.4000000000000004</v>
      </c>
      <c r="N62" s="9">
        <v>0.86</v>
      </c>
    </row>
    <row r="63" spans="1:15">
      <c r="A63" s="8" t="s">
        <v>64</v>
      </c>
      <c r="B63" s="8" t="s">
        <v>66</v>
      </c>
      <c r="C63" s="9">
        <v>20</v>
      </c>
      <c r="D63" s="9">
        <v>0.75</v>
      </c>
      <c r="E63" s="9">
        <v>0.05</v>
      </c>
      <c r="F63" s="9">
        <v>13.65</v>
      </c>
      <c r="G63" s="7">
        <v>57</v>
      </c>
      <c r="H63" s="9">
        <v>0.03</v>
      </c>
      <c r="I63" s="9">
        <v>6.97</v>
      </c>
      <c r="J63" s="9">
        <v>0</v>
      </c>
      <c r="K63" s="9">
        <v>30.34</v>
      </c>
      <c r="L63" s="9">
        <v>33.700000000000003</v>
      </c>
      <c r="M63" s="9">
        <v>20.190000000000001</v>
      </c>
      <c r="N63" s="9">
        <v>0.53</v>
      </c>
    </row>
    <row r="64" spans="1:15">
      <c r="A64" s="8"/>
      <c r="B64" s="8" t="s">
        <v>28</v>
      </c>
      <c r="C64" s="9">
        <f>50*0.75</f>
        <v>37.5</v>
      </c>
      <c r="D64" s="25">
        <f>7.15*0.75</f>
        <v>5.3625000000000007</v>
      </c>
      <c r="E64" s="25">
        <f>4.075*0.75</f>
        <v>3.0562500000000004</v>
      </c>
      <c r="F64" s="25">
        <f>18.2*0.75</f>
        <v>13.649999999999999</v>
      </c>
      <c r="G64" s="17">
        <f>84.45*0.75</f>
        <v>63.337500000000006</v>
      </c>
      <c r="H64" s="25">
        <f>0.035*0.75</f>
        <v>2.6250000000000002E-2</v>
      </c>
      <c r="I64" s="25">
        <f>3.56*0.75</f>
        <v>2.67</v>
      </c>
      <c r="J64" s="25">
        <v>0</v>
      </c>
      <c r="K64" s="25">
        <f>11.76*0.75</f>
        <v>8.82</v>
      </c>
      <c r="L64" s="25">
        <f>35.6*0.75</f>
        <v>26.700000000000003</v>
      </c>
      <c r="M64" s="25">
        <f>3.9*0.75</f>
        <v>2.9249999999999998</v>
      </c>
      <c r="N64" s="25">
        <f>0.16*0.75</f>
        <v>0.12</v>
      </c>
    </row>
    <row r="65" spans="1:14">
      <c r="A65" s="8"/>
      <c r="B65" s="3" t="s">
        <v>67</v>
      </c>
      <c r="C65" s="9">
        <v>200</v>
      </c>
      <c r="D65" s="25">
        <v>4.5999999999999996</v>
      </c>
      <c r="E65" s="25">
        <v>4.95</v>
      </c>
      <c r="F65" s="25">
        <v>8.7200000000000006</v>
      </c>
      <c r="G65" s="17">
        <v>104.2</v>
      </c>
      <c r="H65" s="25">
        <v>0.04</v>
      </c>
      <c r="I65" s="25">
        <v>10</v>
      </c>
      <c r="J65" s="25">
        <v>0</v>
      </c>
      <c r="K65" s="25">
        <v>21.6</v>
      </c>
      <c r="L65" s="25">
        <v>32</v>
      </c>
      <c r="M65" s="25">
        <v>12</v>
      </c>
      <c r="N65" s="25">
        <v>2.4</v>
      </c>
    </row>
    <row r="66" spans="1:14" s="16" customFormat="1">
      <c r="A66" s="15" t="s">
        <v>30</v>
      </c>
      <c r="B66" s="15"/>
      <c r="C66" s="7"/>
      <c r="D66" s="17">
        <f t="shared" ref="D66:N66" si="4">SUM(D61:D65)</f>
        <v>47.412500000000001</v>
      </c>
      <c r="E66" s="17">
        <f t="shared" si="4"/>
        <v>22.88625</v>
      </c>
      <c r="F66" s="17">
        <f t="shared" si="4"/>
        <v>115.54000000000002</v>
      </c>
      <c r="G66" s="17">
        <f t="shared" si="4"/>
        <v>959.53750000000002</v>
      </c>
      <c r="H66" s="17">
        <f t="shared" si="4"/>
        <v>0.24625</v>
      </c>
      <c r="I66" s="17">
        <f t="shared" si="4"/>
        <v>21.29</v>
      </c>
      <c r="J66" s="17">
        <f t="shared" si="4"/>
        <v>0.19</v>
      </c>
      <c r="K66" s="17">
        <f t="shared" si="4"/>
        <v>574.37000000000012</v>
      </c>
      <c r="L66" s="17">
        <f t="shared" si="4"/>
        <v>677.6400000000001</v>
      </c>
      <c r="M66" s="17">
        <f t="shared" si="4"/>
        <v>109.785</v>
      </c>
      <c r="N66" s="17">
        <f t="shared" si="4"/>
        <v>5.35</v>
      </c>
    </row>
    <row r="67" spans="1:14">
      <c r="A67" s="3"/>
      <c r="B67" s="3"/>
      <c r="C67" s="3"/>
      <c r="D67" s="3"/>
      <c r="E67" s="3"/>
      <c r="F67" s="3"/>
      <c r="G67" s="4"/>
      <c r="H67" s="3"/>
      <c r="I67" s="3"/>
      <c r="J67" s="3"/>
      <c r="K67" s="3"/>
      <c r="L67" s="3"/>
      <c r="M67" s="3"/>
      <c r="N67" s="3"/>
    </row>
    <row r="68" spans="1:14">
      <c r="A68" s="26" t="s">
        <v>31</v>
      </c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</row>
    <row r="69" spans="1:14" ht="47.25">
      <c r="A69" s="22" t="s">
        <v>2</v>
      </c>
      <c r="B69" s="22" t="s">
        <v>3</v>
      </c>
      <c r="C69" s="23" t="s">
        <v>4</v>
      </c>
      <c r="D69" s="22" t="s">
        <v>16</v>
      </c>
      <c r="E69" s="24"/>
      <c r="F69" s="24"/>
      <c r="G69" s="18" t="s">
        <v>5</v>
      </c>
      <c r="H69" s="22" t="s">
        <v>7</v>
      </c>
      <c r="I69" s="22"/>
      <c r="J69" s="22"/>
      <c r="K69" s="22" t="s">
        <v>8</v>
      </c>
      <c r="L69" s="22"/>
      <c r="M69" s="22"/>
      <c r="N69" s="22"/>
    </row>
    <row r="70" spans="1:14">
      <c r="A70" s="22"/>
      <c r="B70" s="22"/>
      <c r="C70" s="23"/>
      <c r="D70" s="7" t="s">
        <v>17</v>
      </c>
      <c r="E70" s="7" t="s">
        <v>18</v>
      </c>
      <c r="F70" s="7" t="s">
        <v>19</v>
      </c>
      <c r="G70" s="7" t="s">
        <v>6</v>
      </c>
      <c r="H70" s="7" t="s">
        <v>9</v>
      </c>
      <c r="I70" s="7" t="s">
        <v>10</v>
      </c>
      <c r="J70" s="7" t="s">
        <v>11</v>
      </c>
      <c r="K70" s="7" t="s">
        <v>12</v>
      </c>
      <c r="L70" s="7" t="s">
        <v>13</v>
      </c>
      <c r="M70" s="7" t="s">
        <v>14</v>
      </c>
      <c r="N70" s="7" t="s">
        <v>15</v>
      </c>
    </row>
    <row r="71" spans="1:14">
      <c r="A71" s="8" t="s">
        <v>69</v>
      </c>
      <c r="B71" s="8" t="s">
        <v>74</v>
      </c>
      <c r="C71" s="9">
        <v>80</v>
      </c>
      <c r="D71" s="25">
        <f>2.6*0.8</f>
        <v>2.08</v>
      </c>
      <c r="E71" s="25">
        <f>2.7*0.8</f>
        <v>2.16</v>
      </c>
      <c r="F71" s="25">
        <f>2.55*0.8</f>
        <v>2.04</v>
      </c>
      <c r="G71" s="17">
        <f>93.33*0.8</f>
        <v>74.664000000000001</v>
      </c>
      <c r="H71" s="25">
        <f>0.02*0.8</f>
        <v>1.6E-2</v>
      </c>
      <c r="I71" s="25">
        <f>27.37*0.8</f>
        <v>21.896000000000001</v>
      </c>
      <c r="J71" s="25">
        <v>0</v>
      </c>
      <c r="K71" s="25">
        <f>42.82*0.8</f>
        <v>34.256</v>
      </c>
      <c r="L71" s="25">
        <f>27.31*0.8</f>
        <v>21.847999999999999</v>
      </c>
      <c r="M71" s="25">
        <f>14.88*0.8</f>
        <v>11.904000000000002</v>
      </c>
      <c r="N71" s="25">
        <f>1.02*0.8</f>
        <v>0.81600000000000006</v>
      </c>
    </row>
    <row r="72" spans="1:14">
      <c r="A72" s="8" t="s">
        <v>70</v>
      </c>
      <c r="B72" s="8" t="s">
        <v>75</v>
      </c>
      <c r="C72" s="9">
        <v>200</v>
      </c>
      <c r="D72" s="25">
        <f>5.65*0.8</f>
        <v>4.5200000000000005</v>
      </c>
      <c r="E72" s="25">
        <f>5.91*0.8</f>
        <v>4.7280000000000006</v>
      </c>
      <c r="F72" s="25">
        <f>21.06*0.8</f>
        <v>16.847999999999999</v>
      </c>
      <c r="G72" s="17">
        <f>161*0.8</f>
        <v>128.80000000000001</v>
      </c>
      <c r="H72" s="25">
        <f>0.1*0.8</f>
        <v>8.0000000000000016E-2</v>
      </c>
      <c r="I72" s="25">
        <f>1.62*0.8</f>
        <v>1.2960000000000003</v>
      </c>
      <c r="J72" s="25">
        <f>0.03*0.8</f>
        <v>2.4E-2</v>
      </c>
      <c r="K72" s="25">
        <f>156.19*0.8</f>
        <v>124.952</v>
      </c>
      <c r="L72" s="25">
        <f>136.1*0.8</f>
        <v>108.88</v>
      </c>
      <c r="M72" s="25">
        <f>26.56*0.8</f>
        <v>21.248000000000001</v>
      </c>
      <c r="N72" s="25">
        <f>0.39*0.8</f>
        <v>0.31200000000000006</v>
      </c>
    </row>
    <row r="73" spans="1:14">
      <c r="A73" s="8" t="s">
        <v>71</v>
      </c>
      <c r="B73" s="8" t="s">
        <v>76</v>
      </c>
      <c r="C73" s="9">
        <v>180</v>
      </c>
      <c r="D73" s="25">
        <v>10.5</v>
      </c>
      <c r="E73" s="25">
        <v>7.94</v>
      </c>
      <c r="F73" s="25">
        <v>51.68</v>
      </c>
      <c r="G73" s="17">
        <v>324</v>
      </c>
      <c r="H73" s="25">
        <v>0.35</v>
      </c>
      <c r="I73" s="25">
        <v>0</v>
      </c>
      <c r="J73" s="25">
        <v>0</v>
      </c>
      <c r="K73" s="25">
        <v>20.69</v>
      </c>
      <c r="L73" s="25">
        <v>249</v>
      </c>
      <c r="M73" s="25">
        <v>162.9</v>
      </c>
      <c r="N73" s="25">
        <v>5.6</v>
      </c>
    </row>
    <row r="74" spans="1:14">
      <c r="A74" s="8" t="s">
        <v>72</v>
      </c>
      <c r="B74" s="8" t="s">
        <v>77</v>
      </c>
      <c r="C74" s="9">
        <v>80</v>
      </c>
      <c r="D74" s="25">
        <v>24.97</v>
      </c>
      <c r="E74" s="25">
        <v>9.44</v>
      </c>
      <c r="F74" s="25">
        <v>0.9</v>
      </c>
      <c r="G74" s="17">
        <v>187.2</v>
      </c>
      <c r="H74" s="25">
        <v>0.08</v>
      </c>
      <c r="I74" s="25">
        <v>0.24</v>
      </c>
      <c r="J74" s="25">
        <v>0.08</v>
      </c>
      <c r="K74" s="25">
        <v>25.01</v>
      </c>
      <c r="L74" s="25">
        <v>220.3</v>
      </c>
      <c r="M74" s="25">
        <v>24.74</v>
      </c>
      <c r="N74" s="25">
        <v>1.89</v>
      </c>
    </row>
    <row r="75" spans="1:14">
      <c r="A75" s="8" t="s">
        <v>73</v>
      </c>
      <c r="B75" s="3" t="s">
        <v>78</v>
      </c>
      <c r="C75" s="9">
        <v>200</v>
      </c>
      <c r="D75" s="25">
        <v>0</v>
      </c>
      <c r="E75" s="25">
        <v>0</v>
      </c>
      <c r="F75" s="25">
        <v>9.98</v>
      </c>
      <c r="G75" s="17">
        <v>104</v>
      </c>
      <c r="H75" s="25">
        <v>0</v>
      </c>
      <c r="I75" s="25">
        <v>0</v>
      </c>
      <c r="J75" s="25">
        <v>0</v>
      </c>
      <c r="K75" s="25">
        <v>0.2</v>
      </c>
      <c r="L75" s="25">
        <v>0</v>
      </c>
      <c r="M75" s="25">
        <v>0</v>
      </c>
      <c r="N75" s="25">
        <v>3.31</v>
      </c>
    </row>
    <row r="76" spans="1:14">
      <c r="A76" s="8"/>
      <c r="B76" s="8" t="s">
        <v>28</v>
      </c>
      <c r="C76" s="9">
        <f>60*0.75</f>
        <v>45</v>
      </c>
      <c r="D76" s="25">
        <f>8.58*0.75</f>
        <v>6.4350000000000005</v>
      </c>
      <c r="E76" s="25">
        <f>4.89*0.75</f>
        <v>3.6674999999999995</v>
      </c>
      <c r="F76" s="25">
        <f>21.84*0.75</f>
        <v>16.38</v>
      </c>
      <c r="G76" s="17">
        <f>101.34*0.75</f>
        <v>76.004999999999995</v>
      </c>
      <c r="H76" s="25">
        <f>0.042*0.75</f>
        <v>3.15E-2</v>
      </c>
      <c r="I76" s="25">
        <f>4.272*0.75</f>
        <v>3.2040000000000002</v>
      </c>
      <c r="J76" s="25">
        <v>0</v>
      </c>
      <c r="K76" s="25">
        <f>42.72*0.75</f>
        <v>32.04</v>
      </c>
      <c r="L76" s="25">
        <f>4.68*0.75</f>
        <v>3.51</v>
      </c>
      <c r="M76" s="25">
        <f>0.192*0.75</f>
        <v>0.14400000000000002</v>
      </c>
      <c r="N76" s="25">
        <f>0.32*0.75</f>
        <v>0.24</v>
      </c>
    </row>
    <row r="77" spans="1:14">
      <c r="A77" s="8"/>
      <c r="B77" s="8" t="s">
        <v>40</v>
      </c>
      <c r="C77" s="9">
        <v>40</v>
      </c>
      <c r="D77" s="25">
        <f>2.898*0.67</f>
        <v>1.9416600000000002</v>
      </c>
      <c r="E77" s="25">
        <f>0.504*0.67</f>
        <v>0.33768000000000004</v>
      </c>
      <c r="F77" s="25">
        <f>24.138*0.67</f>
        <v>16.172460000000001</v>
      </c>
      <c r="G77" s="17">
        <f>115.56*0.67</f>
        <v>77.425200000000004</v>
      </c>
      <c r="H77" s="25">
        <f>0.09*0.67</f>
        <v>6.0299999999999999E-2</v>
      </c>
      <c r="I77" s="25">
        <v>0</v>
      </c>
      <c r="J77" s="25">
        <v>0</v>
      </c>
      <c r="K77" s="25">
        <f>1.308*0.67</f>
        <v>0.87636000000000014</v>
      </c>
      <c r="L77" s="25">
        <f>13.38*0.67</f>
        <v>8.9646000000000008</v>
      </c>
      <c r="M77" s="25">
        <f>2.04*0.67</f>
        <v>1.3668</v>
      </c>
      <c r="N77" s="25">
        <f>3.4*0.67</f>
        <v>2.278</v>
      </c>
    </row>
    <row r="78" spans="1:14" s="16" customFormat="1">
      <c r="A78" s="15" t="s">
        <v>30</v>
      </c>
      <c r="B78" s="15"/>
      <c r="C78" s="7"/>
      <c r="D78" s="17">
        <f>SUM(D71:D77)</f>
        <v>50.446660000000001</v>
      </c>
      <c r="E78" s="17">
        <f t="shared" ref="E78:N78" si="5">SUM(E71:E77)</f>
        <v>28.27318</v>
      </c>
      <c r="F78" s="17">
        <f t="shared" si="5"/>
        <v>114.00046</v>
      </c>
      <c r="G78" s="17">
        <f t="shared" si="5"/>
        <v>972.0942</v>
      </c>
      <c r="H78" s="17">
        <f t="shared" si="5"/>
        <v>0.61780000000000002</v>
      </c>
      <c r="I78" s="17">
        <f t="shared" si="5"/>
        <v>26.635999999999999</v>
      </c>
      <c r="J78" s="17">
        <f t="shared" si="5"/>
        <v>0.10400000000000001</v>
      </c>
      <c r="K78" s="17">
        <f t="shared" si="5"/>
        <v>238.02435999999997</v>
      </c>
      <c r="L78" s="17">
        <f t="shared" si="5"/>
        <v>612.50260000000003</v>
      </c>
      <c r="M78" s="17">
        <f t="shared" si="5"/>
        <v>222.30280000000005</v>
      </c>
      <c r="N78" s="17">
        <f t="shared" si="5"/>
        <v>14.446000000000002</v>
      </c>
    </row>
    <row r="79" spans="1:14">
      <c r="A79" s="27" t="s">
        <v>42</v>
      </c>
      <c r="B79" s="27"/>
      <c r="C79" s="8"/>
      <c r="D79" s="8"/>
      <c r="E79" s="8"/>
      <c r="F79" s="8"/>
      <c r="G79" s="15">
        <f>G66+G78</f>
        <v>1931.6316999999999</v>
      </c>
      <c r="H79" s="8"/>
      <c r="I79" s="8"/>
      <c r="J79" s="8"/>
      <c r="K79" s="8"/>
      <c r="L79" s="8"/>
      <c r="M79" s="8"/>
      <c r="N79" s="8"/>
    </row>
    <row r="81" spans="1:15">
      <c r="A81" s="20" t="s">
        <v>175</v>
      </c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</row>
    <row r="82" spans="1:15">
      <c r="A82" s="20" t="s">
        <v>168</v>
      </c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</row>
    <row r="83" spans="1:15" ht="10.5" customHeigh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</row>
    <row r="84" spans="1:15">
      <c r="A84" s="21" t="s">
        <v>1</v>
      </c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</row>
    <row r="85" spans="1:15" ht="47.25">
      <c r="A85" s="22" t="s">
        <v>2</v>
      </c>
      <c r="B85" s="22" t="s">
        <v>3</v>
      </c>
      <c r="C85" s="23" t="s">
        <v>4</v>
      </c>
      <c r="D85" s="22" t="s">
        <v>16</v>
      </c>
      <c r="E85" s="24"/>
      <c r="F85" s="24"/>
      <c r="G85" s="18" t="s">
        <v>5</v>
      </c>
      <c r="H85" s="22" t="s">
        <v>7</v>
      </c>
      <c r="I85" s="22"/>
      <c r="J85" s="22"/>
      <c r="K85" s="22" t="s">
        <v>8</v>
      </c>
      <c r="L85" s="22"/>
      <c r="M85" s="22"/>
      <c r="N85" s="22"/>
      <c r="O85" s="2"/>
    </row>
    <row r="86" spans="1:15">
      <c r="A86" s="22"/>
      <c r="B86" s="22"/>
      <c r="C86" s="23"/>
      <c r="D86" s="7" t="s">
        <v>17</v>
      </c>
      <c r="E86" s="7" t="s">
        <v>18</v>
      </c>
      <c r="F86" s="7" t="s">
        <v>19</v>
      </c>
      <c r="G86" s="7" t="s">
        <v>6</v>
      </c>
      <c r="H86" s="7" t="s">
        <v>9</v>
      </c>
      <c r="I86" s="7" t="s">
        <v>10</v>
      </c>
      <c r="J86" s="7" t="s">
        <v>11</v>
      </c>
      <c r="K86" s="7" t="s">
        <v>12</v>
      </c>
      <c r="L86" s="7" t="s">
        <v>13</v>
      </c>
      <c r="M86" s="7" t="s">
        <v>14</v>
      </c>
      <c r="N86" s="7" t="s">
        <v>15</v>
      </c>
    </row>
    <row r="87" spans="1:15">
      <c r="A87" s="8" t="s">
        <v>80</v>
      </c>
      <c r="B87" s="8" t="s">
        <v>82</v>
      </c>
      <c r="C87" s="9" t="s">
        <v>84</v>
      </c>
      <c r="D87" s="9">
        <v>4.47</v>
      </c>
      <c r="E87" s="9">
        <v>5.9</v>
      </c>
      <c r="F87" s="9">
        <v>31.03</v>
      </c>
      <c r="G87" s="7">
        <v>254</v>
      </c>
      <c r="H87" s="9">
        <v>0.08</v>
      </c>
      <c r="I87" s="9">
        <v>1.32</v>
      </c>
      <c r="J87" s="9">
        <v>7.0000000000000007E-2</v>
      </c>
      <c r="K87" s="9">
        <v>133.36000000000001</v>
      </c>
      <c r="L87" s="9">
        <v>119</v>
      </c>
      <c r="M87" s="9">
        <v>19.91</v>
      </c>
      <c r="N87" s="9">
        <v>0.43</v>
      </c>
    </row>
    <row r="88" spans="1:15">
      <c r="A88" s="8" t="s">
        <v>73</v>
      </c>
      <c r="B88" s="8" t="s">
        <v>78</v>
      </c>
      <c r="C88" s="9">
        <v>200</v>
      </c>
      <c r="D88" s="9">
        <v>0</v>
      </c>
      <c r="E88" s="9">
        <v>0</v>
      </c>
      <c r="F88" s="9">
        <v>9.98</v>
      </c>
      <c r="G88" s="7">
        <v>104</v>
      </c>
      <c r="H88" s="9">
        <v>0</v>
      </c>
      <c r="I88" s="9">
        <v>0</v>
      </c>
      <c r="J88" s="9">
        <v>0</v>
      </c>
      <c r="K88" s="9">
        <v>0.2</v>
      </c>
      <c r="L88" s="9">
        <v>0</v>
      </c>
      <c r="M88" s="9">
        <v>0</v>
      </c>
      <c r="N88" s="9">
        <v>0.03</v>
      </c>
    </row>
    <row r="89" spans="1:15">
      <c r="A89" s="8" t="s">
        <v>81</v>
      </c>
      <c r="B89" s="8" t="s">
        <v>83</v>
      </c>
      <c r="C89" s="9">
        <v>80</v>
      </c>
      <c r="D89" s="25">
        <f>0.87*0.8</f>
        <v>0.69600000000000006</v>
      </c>
      <c r="E89" s="25">
        <f>0.08*0.8</f>
        <v>6.4000000000000001E-2</v>
      </c>
      <c r="F89" s="25">
        <f>9.13*0.8</f>
        <v>7.3040000000000012</v>
      </c>
      <c r="G89" s="17">
        <f>196.67*0.8</f>
        <v>157.33600000000001</v>
      </c>
      <c r="H89" s="25">
        <f>0.03*0.8</f>
        <v>2.4E-2</v>
      </c>
      <c r="I89" s="25">
        <f>6.72*0.8</f>
        <v>5.3760000000000003</v>
      </c>
      <c r="J89" s="25">
        <v>0</v>
      </c>
      <c r="K89" s="25">
        <f>21.87*0.8</f>
        <v>17.496000000000002</v>
      </c>
      <c r="L89" s="25">
        <f>40.58*0.8</f>
        <v>32.463999999999999</v>
      </c>
      <c r="M89" s="25">
        <f>23.28*0.8</f>
        <v>18.624000000000002</v>
      </c>
      <c r="N89" s="25">
        <f>0.85*0.8</f>
        <v>0.68</v>
      </c>
    </row>
    <row r="90" spans="1:15">
      <c r="A90" s="8"/>
      <c r="B90" s="8" t="s">
        <v>28</v>
      </c>
      <c r="C90" s="9">
        <f>50*0.75</f>
        <v>37.5</v>
      </c>
      <c r="D90" s="25">
        <f>7.15*0.75</f>
        <v>5.3625000000000007</v>
      </c>
      <c r="E90" s="25">
        <f>4.075*0.75</f>
        <v>3.0562500000000004</v>
      </c>
      <c r="F90" s="25">
        <f>18.2*0.75</f>
        <v>13.649999999999999</v>
      </c>
      <c r="G90" s="17">
        <f>84.45*0.75</f>
        <v>63.337500000000006</v>
      </c>
      <c r="H90" s="25">
        <f>0.035*0.75</f>
        <v>2.6250000000000002E-2</v>
      </c>
      <c r="I90" s="25">
        <f>3.56*0.75</f>
        <v>2.67</v>
      </c>
      <c r="J90" s="25">
        <v>0</v>
      </c>
      <c r="K90" s="25">
        <f>11.76*0.75</f>
        <v>8.82</v>
      </c>
      <c r="L90" s="25">
        <f>35.6*0.75</f>
        <v>26.700000000000003</v>
      </c>
      <c r="M90" s="25">
        <f>3.9*0.75</f>
        <v>2.9249999999999998</v>
      </c>
      <c r="N90" s="25">
        <f>0.16*0.75</f>
        <v>0.12</v>
      </c>
    </row>
    <row r="91" spans="1:15" s="16" customFormat="1">
      <c r="A91" s="15" t="s">
        <v>30</v>
      </c>
      <c r="B91" s="15"/>
      <c r="C91" s="7"/>
      <c r="D91" s="17">
        <f t="shared" ref="D91:N91" si="6">SUM(D87:D90)</f>
        <v>10.528500000000001</v>
      </c>
      <c r="E91" s="17">
        <f t="shared" si="6"/>
        <v>9.0202500000000008</v>
      </c>
      <c r="F91" s="17">
        <f t="shared" si="6"/>
        <v>61.964000000000006</v>
      </c>
      <c r="G91" s="17">
        <f t="shared" si="6"/>
        <v>578.67349999999999</v>
      </c>
      <c r="H91" s="17">
        <f t="shared" si="6"/>
        <v>0.13025</v>
      </c>
      <c r="I91" s="17">
        <f t="shared" si="6"/>
        <v>9.3659999999999997</v>
      </c>
      <c r="J91" s="17">
        <f t="shared" si="6"/>
        <v>7.0000000000000007E-2</v>
      </c>
      <c r="K91" s="17">
        <f t="shared" si="6"/>
        <v>159.876</v>
      </c>
      <c r="L91" s="17">
        <f t="shared" si="6"/>
        <v>178.16399999999999</v>
      </c>
      <c r="M91" s="17">
        <f t="shared" si="6"/>
        <v>41.459000000000003</v>
      </c>
      <c r="N91" s="17">
        <f t="shared" si="6"/>
        <v>1.2600000000000002</v>
      </c>
    </row>
    <row r="92" spans="1:15">
      <c r="A92" s="3"/>
      <c r="B92" s="3"/>
      <c r="C92" s="3"/>
      <c r="D92" s="3"/>
      <c r="E92" s="3"/>
      <c r="F92" s="3"/>
      <c r="G92" s="4"/>
      <c r="H92" s="3"/>
      <c r="I92" s="3"/>
      <c r="J92" s="3"/>
      <c r="K92" s="3"/>
      <c r="L92" s="3"/>
      <c r="M92" s="3"/>
      <c r="N92" s="3"/>
    </row>
    <row r="93" spans="1:15">
      <c r="A93" s="26" t="s">
        <v>31</v>
      </c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</row>
    <row r="94" spans="1:15" ht="47.25">
      <c r="A94" s="22" t="s">
        <v>2</v>
      </c>
      <c r="B94" s="22" t="s">
        <v>3</v>
      </c>
      <c r="C94" s="23" t="s">
        <v>4</v>
      </c>
      <c r="D94" s="22" t="s">
        <v>16</v>
      </c>
      <c r="E94" s="24"/>
      <c r="F94" s="24"/>
      <c r="G94" s="18" t="s">
        <v>5</v>
      </c>
      <c r="H94" s="22" t="s">
        <v>7</v>
      </c>
      <c r="I94" s="22"/>
      <c r="J94" s="22"/>
      <c r="K94" s="22" t="s">
        <v>8</v>
      </c>
      <c r="L94" s="22"/>
      <c r="M94" s="22"/>
      <c r="N94" s="22"/>
    </row>
    <row r="95" spans="1:15">
      <c r="A95" s="22"/>
      <c r="B95" s="22"/>
      <c r="C95" s="23"/>
      <c r="D95" s="7" t="s">
        <v>17</v>
      </c>
      <c r="E95" s="7" t="s">
        <v>18</v>
      </c>
      <c r="F95" s="7" t="s">
        <v>19</v>
      </c>
      <c r="G95" s="7" t="s">
        <v>6</v>
      </c>
      <c r="H95" s="7" t="s">
        <v>9</v>
      </c>
      <c r="I95" s="7" t="s">
        <v>10</v>
      </c>
      <c r="J95" s="7" t="s">
        <v>11</v>
      </c>
      <c r="K95" s="7" t="s">
        <v>12</v>
      </c>
      <c r="L95" s="7" t="s">
        <v>13</v>
      </c>
      <c r="M95" s="7" t="s">
        <v>14</v>
      </c>
      <c r="N95" s="7" t="s">
        <v>15</v>
      </c>
    </row>
    <row r="96" spans="1:15">
      <c r="A96" s="8" t="s">
        <v>85</v>
      </c>
      <c r="B96" s="13" t="s">
        <v>26</v>
      </c>
      <c r="C96" s="9">
        <v>80</v>
      </c>
      <c r="D96" s="25">
        <f>1.53*0.8</f>
        <v>1.2240000000000002</v>
      </c>
      <c r="E96" s="25">
        <f>5.07*0.8</f>
        <v>4.056</v>
      </c>
      <c r="F96" s="25">
        <f>9.03*0.8</f>
        <v>7.2240000000000002</v>
      </c>
      <c r="G96" s="17">
        <f>86.67*0.8</f>
        <v>69.335999999999999</v>
      </c>
      <c r="H96" s="25">
        <f>0.02*0.8</f>
        <v>1.6E-2</v>
      </c>
      <c r="I96" s="25">
        <f>38.47*0.8</f>
        <v>30.776</v>
      </c>
      <c r="J96" s="25">
        <v>0</v>
      </c>
      <c r="K96" s="25">
        <f>51.62*0.8</f>
        <v>41.295999999999999</v>
      </c>
      <c r="L96" s="25">
        <f>27.03*0.8</f>
        <v>21.624000000000002</v>
      </c>
      <c r="M96" s="25">
        <f>14.63*0.8</f>
        <v>11.704000000000001</v>
      </c>
      <c r="N96" s="25">
        <f>0.62*0.8</f>
        <v>0.496</v>
      </c>
    </row>
    <row r="97" spans="1:15">
      <c r="A97" s="8" t="s">
        <v>86</v>
      </c>
      <c r="B97" s="8" t="s">
        <v>89</v>
      </c>
      <c r="C97" s="9">
        <v>200</v>
      </c>
      <c r="D97" s="25">
        <f>7.2*0.8</f>
        <v>5.7600000000000007</v>
      </c>
      <c r="E97" s="25">
        <f>5.44*0.8</f>
        <v>4.3520000000000003</v>
      </c>
      <c r="F97" s="25">
        <f>20*0.8</f>
        <v>16</v>
      </c>
      <c r="G97" s="17">
        <f>161*0.8</f>
        <v>128.80000000000001</v>
      </c>
      <c r="H97" s="25">
        <f>0.17*0.8</f>
        <v>0.13600000000000001</v>
      </c>
      <c r="I97" s="25">
        <f>24*0.8</f>
        <v>19.200000000000003</v>
      </c>
      <c r="J97" s="25">
        <f>0.02*0.8</f>
        <v>1.6E-2</v>
      </c>
      <c r="K97" s="25">
        <f>22.89*0.8</f>
        <v>18.312000000000001</v>
      </c>
      <c r="L97" s="25">
        <f>126.7*0.8</f>
        <v>101.36000000000001</v>
      </c>
      <c r="M97" s="25">
        <f>37.15*0.8</f>
        <v>29.72</v>
      </c>
      <c r="N97" s="25">
        <f>3.77*0.8</f>
        <v>3.016</v>
      </c>
    </row>
    <row r="98" spans="1:15">
      <c r="A98" s="8" t="s">
        <v>34</v>
      </c>
      <c r="B98" s="8" t="s">
        <v>38</v>
      </c>
      <c r="C98" s="9">
        <v>180</v>
      </c>
      <c r="D98" s="25">
        <v>4.57</v>
      </c>
      <c r="E98" s="25">
        <v>7.33</v>
      </c>
      <c r="F98" s="25">
        <v>46.33</v>
      </c>
      <c r="G98" s="17">
        <v>237.6</v>
      </c>
      <c r="H98" s="25">
        <v>0.04</v>
      </c>
      <c r="I98" s="25">
        <v>0</v>
      </c>
      <c r="J98" s="25">
        <v>0.04</v>
      </c>
      <c r="K98" s="25">
        <v>39.29</v>
      </c>
      <c r="L98" s="25">
        <v>98.74</v>
      </c>
      <c r="M98" s="25">
        <v>34.4</v>
      </c>
      <c r="N98" s="25">
        <v>0.92</v>
      </c>
    </row>
    <row r="99" spans="1:15">
      <c r="A99" s="8" t="s">
        <v>87</v>
      </c>
      <c r="B99" s="8" t="s">
        <v>90</v>
      </c>
      <c r="C99" s="9" t="s">
        <v>92</v>
      </c>
      <c r="D99" s="25">
        <v>10.86</v>
      </c>
      <c r="E99" s="25">
        <v>3.62</v>
      </c>
      <c r="F99" s="25">
        <v>14.21</v>
      </c>
      <c r="G99" s="17">
        <v>134.4</v>
      </c>
      <c r="H99" s="25">
        <v>0.1</v>
      </c>
      <c r="I99" s="25">
        <v>3.7</v>
      </c>
      <c r="J99" s="25">
        <v>0.02</v>
      </c>
      <c r="K99" s="25">
        <v>45.79</v>
      </c>
      <c r="L99" s="25">
        <v>153.9</v>
      </c>
      <c r="M99" s="25">
        <v>29.8</v>
      </c>
      <c r="N99" s="25">
        <v>0.6</v>
      </c>
    </row>
    <row r="100" spans="1:15">
      <c r="A100" s="8" t="s">
        <v>88</v>
      </c>
      <c r="B100" s="3" t="s">
        <v>91</v>
      </c>
      <c r="C100" s="9">
        <v>200</v>
      </c>
      <c r="D100" s="25">
        <v>4.2</v>
      </c>
      <c r="E100" s="25">
        <v>4.8</v>
      </c>
      <c r="F100" s="25">
        <v>7.05</v>
      </c>
      <c r="G100" s="17">
        <v>87</v>
      </c>
      <c r="H100" s="25">
        <v>0.06</v>
      </c>
      <c r="I100" s="25">
        <v>1.095</v>
      </c>
      <c r="J100" s="25">
        <v>0.03</v>
      </c>
      <c r="K100" s="25">
        <v>180</v>
      </c>
      <c r="L100" s="25">
        <v>135</v>
      </c>
      <c r="M100" s="25">
        <v>21</v>
      </c>
      <c r="N100" s="25">
        <v>0.09</v>
      </c>
    </row>
    <row r="101" spans="1:15">
      <c r="A101" s="8"/>
      <c r="B101" s="8" t="s">
        <v>28</v>
      </c>
      <c r="C101" s="9">
        <f>60*0.75</f>
        <v>45</v>
      </c>
      <c r="D101" s="25">
        <f>8.58*0.75</f>
        <v>6.4350000000000005</v>
      </c>
      <c r="E101" s="25">
        <f>4.89*0.75</f>
        <v>3.6674999999999995</v>
      </c>
      <c r="F101" s="25">
        <f>21.84*0.75</f>
        <v>16.38</v>
      </c>
      <c r="G101" s="17">
        <f>101.34*0.75</f>
        <v>76.004999999999995</v>
      </c>
      <c r="H101" s="25">
        <f>0.042*0.75</f>
        <v>3.15E-2</v>
      </c>
      <c r="I101" s="25">
        <f>4.272*0.75</f>
        <v>3.2040000000000002</v>
      </c>
      <c r="J101" s="25">
        <v>0</v>
      </c>
      <c r="K101" s="25">
        <f>42.72*0.75</f>
        <v>32.04</v>
      </c>
      <c r="L101" s="25">
        <f>4.68*0.75</f>
        <v>3.51</v>
      </c>
      <c r="M101" s="25">
        <f>0.192*0.75</f>
        <v>0.14400000000000002</v>
      </c>
      <c r="N101" s="25">
        <f>0.32*0.75</f>
        <v>0.24</v>
      </c>
    </row>
    <row r="102" spans="1:15">
      <c r="A102" s="8"/>
      <c r="B102" s="8" t="s">
        <v>40</v>
      </c>
      <c r="C102" s="9">
        <v>40</v>
      </c>
      <c r="D102" s="25">
        <f>2.898*0.67</f>
        <v>1.9416600000000002</v>
      </c>
      <c r="E102" s="25">
        <f>0.504*0.67</f>
        <v>0.33768000000000004</v>
      </c>
      <c r="F102" s="25">
        <f>24.138*0.67</f>
        <v>16.172460000000001</v>
      </c>
      <c r="G102" s="17">
        <f>115.56*0.67</f>
        <v>77.425200000000004</v>
      </c>
      <c r="H102" s="25">
        <f>0.09*0.67</f>
        <v>6.0299999999999999E-2</v>
      </c>
      <c r="I102" s="25">
        <v>0</v>
      </c>
      <c r="J102" s="25">
        <v>0</v>
      </c>
      <c r="K102" s="25">
        <f>1.308*0.67</f>
        <v>0.87636000000000014</v>
      </c>
      <c r="L102" s="25">
        <f>13.38*0.67</f>
        <v>8.9646000000000008</v>
      </c>
      <c r="M102" s="25">
        <f>2.04*0.67</f>
        <v>1.3668</v>
      </c>
      <c r="N102" s="25">
        <f>3.4*0.67</f>
        <v>2.278</v>
      </c>
    </row>
    <row r="103" spans="1:15" s="16" customFormat="1">
      <c r="A103" s="15" t="s">
        <v>30</v>
      </c>
      <c r="B103" s="15"/>
      <c r="C103" s="7"/>
      <c r="D103" s="17">
        <f>SUM(D96:D102)</f>
        <v>34.990659999999998</v>
      </c>
      <c r="E103" s="17">
        <f t="shared" ref="E103:N103" si="7">SUM(E96:E102)</f>
        <v>28.163180000000001</v>
      </c>
      <c r="F103" s="17">
        <f t="shared" si="7"/>
        <v>123.36646</v>
      </c>
      <c r="G103" s="17">
        <f t="shared" si="7"/>
        <v>810.56619999999998</v>
      </c>
      <c r="H103" s="17">
        <f t="shared" si="7"/>
        <v>0.44380000000000008</v>
      </c>
      <c r="I103" s="17">
        <f t="shared" si="7"/>
        <v>57.975000000000001</v>
      </c>
      <c r="J103" s="17">
        <f t="shared" si="7"/>
        <v>0.106</v>
      </c>
      <c r="K103" s="17">
        <f t="shared" si="7"/>
        <v>357.60435999999999</v>
      </c>
      <c r="L103" s="17">
        <f t="shared" si="7"/>
        <v>523.09860000000003</v>
      </c>
      <c r="M103" s="17">
        <f t="shared" si="7"/>
        <v>128.13480000000001</v>
      </c>
      <c r="N103" s="17">
        <f t="shared" si="7"/>
        <v>7.6400000000000006</v>
      </c>
    </row>
    <row r="104" spans="1:15">
      <c r="A104" s="27" t="s">
        <v>42</v>
      </c>
      <c r="B104" s="27"/>
      <c r="C104" s="8"/>
      <c r="D104" s="8"/>
      <c r="E104" s="8"/>
      <c r="F104" s="8"/>
      <c r="G104" s="15">
        <f>G91+G103</f>
        <v>1389.2397000000001</v>
      </c>
      <c r="H104" s="8"/>
      <c r="I104" s="8"/>
      <c r="J104" s="8"/>
      <c r="K104" s="8"/>
      <c r="L104" s="8"/>
      <c r="M104" s="8"/>
      <c r="N104" s="8"/>
    </row>
    <row r="105" spans="1:15" hidden="1"/>
    <row r="106" spans="1:15" hidden="1"/>
    <row r="107" spans="1:15">
      <c r="A107" s="20" t="s">
        <v>175</v>
      </c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</row>
    <row r="108" spans="1:15">
      <c r="A108" s="20" t="s">
        <v>169</v>
      </c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</row>
    <row r="109" spans="1:15" ht="10.5" customHeight="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</row>
    <row r="110" spans="1:15">
      <c r="A110" s="21" t="s">
        <v>1</v>
      </c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</row>
    <row r="111" spans="1:15" ht="47.25">
      <c r="A111" s="22" t="s">
        <v>2</v>
      </c>
      <c r="B111" s="22" t="s">
        <v>3</v>
      </c>
      <c r="C111" s="23" t="s">
        <v>4</v>
      </c>
      <c r="D111" s="22" t="s">
        <v>16</v>
      </c>
      <c r="E111" s="24"/>
      <c r="F111" s="24"/>
      <c r="G111" s="18" t="s">
        <v>5</v>
      </c>
      <c r="H111" s="22" t="s">
        <v>7</v>
      </c>
      <c r="I111" s="22"/>
      <c r="J111" s="22"/>
      <c r="K111" s="22" t="s">
        <v>8</v>
      </c>
      <c r="L111" s="22"/>
      <c r="M111" s="22"/>
      <c r="N111" s="22"/>
      <c r="O111" s="2"/>
    </row>
    <row r="112" spans="1:15">
      <c r="A112" s="22"/>
      <c r="B112" s="22"/>
      <c r="C112" s="23"/>
      <c r="D112" s="7" t="s">
        <v>17</v>
      </c>
      <c r="E112" s="7" t="s">
        <v>18</v>
      </c>
      <c r="F112" s="7" t="s">
        <v>19</v>
      </c>
      <c r="G112" s="7" t="s">
        <v>6</v>
      </c>
      <c r="H112" s="7" t="s">
        <v>9</v>
      </c>
      <c r="I112" s="7" t="s">
        <v>10</v>
      </c>
      <c r="J112" s="7" t="s">
        <v>11</v>
      </c>
      <c r="K112" s="7" t="s">
        <v>12</v>
      </c>
      <c r="L112" s="7" t="s">
        <v>13</v>
      </c>
      <c r="M112" s="7" t="s">
        <v>14</v>
      </c>
      <c r="N112" s="7" t="s">
        <v>15</v>
      </c>
    </row>
    <row r="113" spans="1:14">
      <c r="A113" s="8" t="s">
        <v>94</v>
      </c>
      <c r="B113" s="8" t="s">
        <v>96</v>
      </c>
      <c r="C113" s="9" t="s">
        <v>99</v>
      </c>
      <c r="D113" s="25">
        <v>7.4</v>
      </c>
      <c r="E113" s="25">
        <v>13.95</v>
      </c>
      <c r="F113" s="25">
        <v>31.96</v>
      </c>
      <c r="G113" s="17">
        <v>284</v>
      </c>
      <c r="H113" s="25">
        <v>0.23</v>
      </c>
      <c r="I113" s="25">
        <v>1.23</v>
      </c>
      <c r="J113" s="25">
        <v>7.0000000000000007E-2</v>
      </c>
      <c r="K113" s="25">
        <v>141.24</v>
      </c>
      <c r="L113" s="25">
        <v>227.8</v>
      </c>
      <c r="M113" s="25">
        <v>68.760000000000005</v>
      </c>
      <c r="N113" s="25">
        <v>1.67</v>
      </c>
    </row>
    <row r="114" spans="1:14">
      <c r="A114" s="8" t="s">
        <v>95</v>
      </c>
      <c r="B114" s="8" t="s">
        <v>97</v>
      </c>
      <c r="C114" s="9">
        <v>200</v>
      </c>
      <c r="D114" s="25">
        <v>5.9</v>
      </c>
      <c r="E114" s="25">
        <v>6.75</v>
      </c>
      <c r="F114" s="25">
        <v>9.91</v>
      </c>
      <c r="G114" s="17">
        <v>122</v>
      </c>
      <c r="H114" s="25">
        <v>0.08</v>
      </c>
      <c r="I114" s="25">
        <v>2.74</v>
      </c>
      <c r="J114" s="25">
        <v>0.04</v>
      </c>
      <c r="K114" s="25">
        <v>253.2</v>
      </c>
      <c r="L114" s="25">
        <v>189.9</v>
      </c>
      <c r="M114" s="25">
        <v>29.54</v>
      </c>
      <c r="N114" s="25">
        <v>0.12</v>
      </c>
    </row>
    <row r="115" spans="1:14">
      <c r="A115" s="8" t="s">
        <v>50</v>
      </c>
      <c r="B115" s="8" t="s">
        <v>55</v>
      </c>
      <c r="C115" s="9">
        <v>80</v>
      </c>
      <c r="D115" s="25">
        <f>0.92*0.8</f>
        <v>0.7360000000000001</v>
      </c>
      <c r="E115" s="25">
        <f>0.16*0.8</f>
        <v>0.128</v>
      </c>
      <c r="F115" s="25">
        <f>5.91*0.8</f>
        <v>4.7280000000000006</v>
      </c>
      <c r="G115" s="17">
        <f>29.33*0.8</f>
        <v>23.463999999999999</v>
      </c>
      <c r="H115" s="25">
        <f>0.03*0.8</f>
        <v>2.4E-2</v>
      </c>
      <c r="I115" s="25">
        <f>28.67*0.8</f>
        <v>22.936000000000003</v>
      </c>
      <c r="J115" s="25">
        <v>0</v>
      </c>
      <c r="K115" s="25">
        <f>28.67*0.8</f>
        <v>22.936000000000003</v>
      </c>
      <c r="L115" s="25">
        <f>23.39*0.8</f>
        <v>18.712</v>
      </c>
      <c r="M115" s="25">
        <f>14*0.8</f>
        <v>11.200000000000001</v>
      </c>
      <c r="N115" s="25">
        <f>1.03*0.8</f>
        <v>0.82400000000000007</v>
      </c>
    </row>
    <row r="116" spans="1:14">
      <c r="A116" s="8"/>
      <c r="B116" s="8" t="s">
        <v>28</v>
      </c>
      <c r="C116" s="9">
        <f>50*0.75</f>
        <v>37.5</v>
      </c>
      <c r="D116" s="25">
        <f>7.15*0.75</f>
        <v>5.3625000000000007</v>
      </c>
      <c r="E116" s="25">
        <f>4.075*0.75</f>
        <v>3.0562500000000004</v>
      </c>
      <c r="F116" s="25">
        <f>18.2*0.75</f>
        <v>13.649999999999999</v>
      </c>
      <c r="G116" s="17">
        <f>84.45*0.75</f>
        <v>63.337500000000006</v>
      </c>
      <c r="H116" s="25">
        <f>0.035*0.75</f>
        <v>2.6250000000000002E-2</v>
      </c>
      <c r="I116" s="25">
        <f>3.56*0.75</f>
        <v>2.67</v>
      </c>
      <c r="J116" s="25">
        <v>0</v>
      </c>
      <c r="K116" s="25">
        <f>11.76*0.75</f>
        <v>8.82</v>
      </c>
      <c r="L116" s="25">
        <v>35.6</v>
      </c>
      <c r="M116" s="25">
        <v>3.9</v>
      </c>
      <c r="N116" s="25">
        <v>0.16</v>
      </c>
    </row>
    <row r="117" spans="1:14">
      <c r="A117" s="8"/>
      <c r="B117" s="8" t="s">
        <v>98</v>
      </c>
      <c r="C117" s="9">
        <v>200</v>
      </c>
      <c r="D117" s="25">
        <v>2</v>
      </c>
      <c r="E117" s="25">
        <v>0.13</v>
      </c>
      <c r="F117" s="25">
        <v>25.3</v>
      </c>
      <c r="G117" s="17">
        <v>116</v>
      </c>
      <c r="H117" s="25">
        <v>0.08</v>
      </c>
      <c r="I117" s="25">
        <v>12</v>
      </c>
      <c r="J117" s="25">
        <v>0.1</v>
      </c>
      <c r="K117" s="25">
        <v>68</v>
      </c>
      <c r="L117" s="25">
        <f>46*0.75</f>
        <v>34.5</v>
      </c>
      <c r="M117" s="25">
        <f>26*0.75</f>
        <v>19.5</v>
      </c>
      <c r="N117" s="25">
        <f>0.1*0.75</f>
        <v>7.5000000000000011E-2</v>
      </c>
    </row>
    <row r="118" spans="1:14" s="16" customFormat="1">
      <c r="A118" s="15" t="s">
        <v>30</v>
      </c>
      <c r="B118" s="15"/>
      <c r="C118" s="7"/>
      <c r="D118" s="17">
        <f t="shared" ref="D118:N118" si="8">SUM(D113:D117)</f>
        <v>21.398500000000002</v>
      </c>
      <c r="E118" s="17">
        <f t="shared" si="8"/>
        <v>24.014250000000001</v>
      </c>
      <c r="F118" s="17">
        <f t="shared" si="8"/>
        <v>85.548000000000002</v>
      </c>
      <c r="G118" s="17">
        <f t="shared" si="8"/>
        <v>608.80150000000003</v>
      </c>
      <c r="H118" s="17">
        <f t="shared" si="8"/>
        <v>0.44025000000000003</v>
      </c>
      <c r="I118" s="17">
        <f t="shared" si="8"/>
        <v>41.576000000000001</v>
      </c>
      <c r="J118" s="17">
        <f t="shared" si="8"/>
        <v>0.21000000000000002</v>
      </c>
      <c r="K118" s="17">
        <f t="shared" si="8"/>
        <v>494.19599999999997</v>
      </c>
      <c r="L118" s="17">
        <f t="shared" si="8"/>
        <v>506.51200000000006</v>
      </c>
      <c r="M118" s="17">
        <f t="shared" si="8"/>
        <v>132.90000000000003</v>
      </c>
      <c r="N118" s="17">
        <f t="shared" si="8"/>
        <v>2.8490000000000002</v>
      </c>
    </row>
    <row r="119" spans="1:14" ht="12" customHeight="1">
      <c r="A119" s="3"/>
      <c r="B119" s="3"/>
      <c r="C119" s="3"/>
      <c r="D119" s="3"/>
      <c r="E119" s="3"/>
      <c r="F119" s="3"/>
      <c r="G119" s="4"/>
      <c r="H119" s="3"/>
      <c r="I119" s="3"/>
      <c r="J119" s="3"/>
      <c r="K119" s="3"/>
      <c r="L119" s="3"/>
      <c r="M119" s="3"/>
      <c r="N119" s="3"/>
    </row>
    <row r="120" spans="1:14">
      <c r="A120" s="26" t="s">
        <v>31</v>
      </c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</row>
    <row r="121" spans="1:14" ht="47.25">
      <c r="A121" s="22" t="s">
        <v>2</v>
      </c>
      <c r="B121" s="22" t="s">
        <v>3</v>
      </c>
      <c r="C121" s="23" t="s">
        <v>4</v>
      </c>
      <c r="D121" s="22" t="s">
        <v>16</v>
      </c>
      <c r="E121" s="24"/>
      <c r="F121" s="24"/>
      <c r="G121" s="18" t="s">
        <v>5</v>
      </c>
      <c r="H121" s="22" t="s">
        <v>7</v>
      </c>
      <c r="I121" s="22"/>
      <c r="J121" s="22"/>
      <c r="K121" s="22" t="s">
        <v>8</v>
      </c>
      <c r="L121" s="22"/>
      <c r="M121" s="22"/>
      <c r="N121" s="22"/>
    </row>
    <row r="122" spans="1:14">
      <c r="A122" s="22"/>
      <c r="B122" s="22"/>
      <c r="C122" s="23"/>
      <c r="D122" s="7" t="s">
        <v>17</v>
      </c>
      <c r="E122" s="7" t="s">
        <v>18</v>
      </c>
      <c r="F122" s="7" t="s">
        <v>19</v>
      </c>
      <c r="G122" s="7" t="s">
        <v>6</v>
      </c>
      <c r="H122" s="7" t="s">
        <v>9</v>
      </c>
      <c r="I122" s="7" t="s">
        <v>10</v>
      </c>
      <c r="J122" s="7" t="s">
        <v>11</v>
      </c>
      <c r="K122" s="7" t="s">
        <v>12</v>
      </c>
      <c r="L122" s="7" t="s">
        <v>13</v>
      </c>
      <c r="M122" s="7" t="s">
        <v>14</v>
      </c>
      <c r="N122" s="7" t="s">
        <v>15</v>
      </c>
    </row>
    <row r="123" spans="1:14">
      <c r="A123" s="8" t="s">
        <v>100</v>
      </c>
      <c r="B123" s="8" t="s">
        <v>104</v>
      </c>
      <c r="C123" s="9">
        <v>80</v>
      </c>
      <c r="D123" s="25">
        <f>0.76*0.8</f>
        <v>0.6080000000000001</v>
      </c>
      <c r="E123" s="25">
        <f>0.05*0.8</f>
        <v>4.0000000000000008E-2</v>
      </c>
      <c r="F123" s="25">
        <f>11.72*0.8</f>
        <v>9.3760000000000012</v>
      </c>
      <c r="G123" s="17">
        <f>98.33*0.8</f>
        <v>78.664000000000001</v>
      </c>
      <c r="H123" s="25">
        <f>0.03*0.8</f>
        <v>2.4E-2</v>
      </c>
      <c r="I123" s="25">
        <f>10.88*0.8</f>
        <v>8.7040000000000006</v>
      </c>
      <c r="J123" s="25">
        <v>0</v>
      </c>
      <c r="K123" s="25">
        <f>36.45*0.8</f>
        <v>29.160000000000004</v>
      </c>
      <c r="L123" s="25">
        <f>35.18*0.8</f>
        <v>28.144000000000002</v>
      </c>
      <c r="M123" s="25">
        <f>18.08*0.8</f>
        <v>14.463999999999999</v>
      </c>
      <c r="N123" s="25">
        <f>1.08*0.8</f>
        <v>0.8640000000000001</v>
      </c>
    </row>
    <row r="124" spans="1:14" ht="32.25">
      <c r="A124" s="8" t="s">
        <v>101</v>
      </c>
      <c r="B124" s="13" t="s">
        <v>105</v>
      </c>
      <c r="C124" s="9">
        <v>200</v>
      </c>
      <c r="D124" s="25">
        <f>2.06*0.8</f>
        <v>1.6480000000000001</v>
      </c>
      <c r="E124" s="25">
        <f>5.27*0.8</f>
        <v>4.2160000000000002</v>
      </c>
      <c r="F124" s="25">
        <f>13.01*0.8</f>
        <v>10.408000000000001</v>
      </c>
      <c r="G124" s="17">
        <f>108*0.8</f>
        <v>86.4</v>
      </c>
      <c r="H124" s="25">
        <f>0.05*0.8</f>
        <v>4.0000000000000008E-2</v>
      </c>
      <c r="I124" s="25">
        <f>20.46*0.8</f>
        <v>16.368000000000002</v>
      </c>
      <c r="J124" s="25">
        <f>0.03*0.8</f>
        <v>2.4E-2</v>
      </c>
      <c r="K124" s="25">
        <f>42.89*0.8</f>
        <v>34.312000000000005</v>
      </c>
      <c r="L124" s="25">
        <f>55.5*0.8</f>
        <v>44.400000000000006</v>
      </c>
      <c r="M124" s="25">
        <f>22.23*0.8</f>
        <v>17.784000000000002</v>
      </c>
      <c r="N124" s="25">
        <f>1.2*0.8</f>
        <v>0.96</v>
      </c>
    </row>
    <row r="125" spans="1:14">
      <c r="A125" s="8" t="s">
        <v>102</v>
      </c>
      <c r="B125" s="8" t="s">
        <v>106</v>
      </c>
      <c r="C125" s="9">
        <v>180</v>
      </c>
      <c r="D125" s="25">
        <v>3.89</v>
      </c>
      <c r="E125" s="25">
        <v>6.72</v>
      </c>
      <c r="F125" s="25">
        <v>26.46</v>
      </c>
      <c r="G125" s="17">
        <v>187.2</v>
      </c>
      <c r="H125" s="25">
        <v>0.18</v>
      </c>
      <c r="I125" s="25">
        <v>31.14</v>
      </c>
      <c r="J125" s="25">
        <v>0.04</v>
      </c>
      <c r="K125" s="25">
        <v>83.4</v>
      </c>
      <c r="L125" s="25">
        <v>116.1</v>
      </c>
      <c r="M125" s="25">
        <v>41.39</v>
      </c>
      <c r="N125" s="25">
        <v>1.68</v>
      </c>
    </row>
    <row r="126" spans="1:14">
      <c r="A126" s="8" t="s">
        <v>103</v>
      </c>
      <c r="B126" s="8" t="s">
        <v>107</v>
      </c>
      <c r="C126" s="9">
        <v>100</v>
      </c>
      <c r="D126" s="25">
        <v>11.04</v>
      </c>
      <c r="E126" s="25">
        <v>6.46</v>
      </c>
      <c r="F126" s="25">
        <v>0.17</v>
      </c>
      <c r="G126" s="17">
        <v>234</v>
      </c>
      <c r="H126" s="25">
        <v>0.1</v>
      </c>
      <c r="I126" s="25">
        <v>27.48</v>
      </c>
      <c r="J126" s="25">
        <v>0</v>
      </c>
      <c r="K126" s="25">
        <v>16.8</v>
      </c>
      <c r="L126" s="25">
        <v>202.3</v>
      </c>
      <c r="M126" s="25">
        <v>34.729999999999997</v>
      </c>
      <c r="N126" s="25">
        <v>2.46</v>
      </c>
    </row>
    <row r="127" spans="1:14">
      <c r="A127" s="8" t="s">
        <v>73</v>
      </c>
      <c r="B127" s="3" t="s">
        <v>78</v>
      </c>
      <c r="C127" s="9">
        <v>200</v>
      </c>
      <c r="D127" s="25">
        <v>0</v>
      </c>
      <c r="E127" s="25">
        <v>0</v>
      </c>
      <c r="F127" s="25">
        <v>9.98</v>
      </c>
      <c r="G127" s="17">
        <v>104</v>
      </c>
      <c r="H127" s="25">
        <v>0</v>
      </c>
      <c r="I127" s="25">
        <v>0</v>
      </c>
      <c r="J127" s="25">
        <v>0</v>
      </c>
      <c r="K127" s="25">
        <v>0.2</v>
      </c>
      <c r="L127" s="25">
        <v>0</v>
      </c>
      <c r="M127" s="25">
        <v>0</v>
      </c>
      <c r="N127" s="25">
        <v>3.31</v>
      </c>
    </row>
    <row r="128" spans="1:14">
      <c r="A128" s="8"/>
      <c r="B128" s="8" t="s">
        <v>28</v>
      </c>
      <c r="C128" s="9">
        <f>60*0.75</f>
        <v>45</v>
      </c>
      <c r="D128" s="25">
        <f>8.58*0.75</f>
        <v>6.4350000000000005</v>
      </c>
      <c r="E128" s="25">
        <f>4.89*0.75</f>
        <v>3.6674999999999995</v>
      </c>
      <c r="F128" s="25">
        <f>21.84*0.75</f>
        <v>16.38</v>
      </c>
      <c r="G128" s="17">
        <f>101.34*0.75</f>
        <v>76.004999999999995</v>
      </c>
      <c r="H128" s="25">
        <f>0.042*0.75</f>
        <v>3.15E-2</v>
      </c>
      <c r="I128" s="25">
        <f>4.272*0.75</f>
        <v>3.2040000000000002</v>
      </c>
      <c r="J128" s="25">
        <v>0</v>
      </c>
      <c r="K128" s="25">
        <f>42.72*0.75</f>
        <v>32.04</v>
      </c>
      <c r="L128" s="25">
        <f>4.68*0.75</f>
        <v>3.51</v>
      </c>
      <c r="M128" s="25">
        <f>0.192*0.75</f>
        <v>0.14400000000000002</v>
      </c>
      <c r="N128" s="25">
        <f>0.32*0.75</f>
        <v>0.24</v>
      </c>
    </row>
    <row r="129" spans="1:15">
      <c r="A129" s="8"/>
      <c r="B129" s="8" t="s">
        <v>40</v>
      </c>
      <c r="C129" s="9">
        <v>40</v>
      </c>
      <c r="D129" s="25">
        <f>2.898*0.67</f>
        <v>1.9416600000000002</v>
      </c>
      <c r="E129" s="25">
        <f>0.504*0.67</f>
        <v>0.33768000000000004</v>
      </c>
      <c r="F129" s="25">
        <f>24.138*0.67</f>
        <v>16.172460000000001</v>
      </c>
      <c r="G129" s="17">
        <f>115.56*0.67</f>
        <v>77.425200000000004</v>
      </c>
      <c r="H129" s="25">
        <f>0.09*0.67</f>
        <v>6.0299999999999999E-2</v>
      </c>
      <c r="I129" s="25">
        <v>0</v>
      </c>
      <c r="J129" s="25">
        <v>0</v>
      </c>
      <c r="K129" s="25">
        <f>1.308*0.67</f>
        <v>0.87636000000000014</v>
      </c>
      <c r="L129" s="25">
        <f>13.38*0.67</f>
        <v>8.9646000000000008</v>
      </c>
      <c r="M129" s="25">
        <f>2.04*0.67</f>
        <v>1.3668</v>
      </c>
      <c r="N129" s="25">
        <f>3.4*0.67</f>
        <v>2.278</v>
      </c>
    </row>
    <row r="130" spans="1:15" s="16" customFormat="1">
      <c r="A130" s="15" t="s">
        <v>30</v>
      </c>
      <c r="B130" s="15"/>
      <c r="C130" s="7"/>
      <c r="D130" s="17">
        <f>SUM(D123:D129)</f>
        <v>25.562660000000001</v>
      </c>
      <c r="E130" s="17">
        <f t="shared" ref="E130:N130" si="9">SUM(E123:E129)</f>
        <v>21.441179999999999</v>
      </c>
      <c r="F130" s="17">
        <f t="shared" si="9"/>
        <v>88.946460000000002</v>
      </c>
      <c r="G130" s="17">
        <f t="shared" si="9"/>
        <v>843.69420000000002</v>
      </c>
      <c r="H130" s="17">
        <f t="shared" si="9"/>
        <v>0.43579999999999997</v>
      </c>
      <c r="I130" s="17">
        <f t="shared" si="9"/>
        <v>86.896000000000001</v>
      </c>
      <c r="J130" s="17">
        <f t="shared" si="9"/>
        <v>6.4000000000000001E-2</v>
      </c>
      <c r="K130" s="17">
        <f t="shared" si="9"/>
        <v>196.78836000000001</v>
      </c>
      <c r="L130" s="17">
        <f t="shared" si="9"/>
        <v>403.41860000000003</v>
      </c>
      <c r="M130" s="17">
        <f t="shared" si="9"/>
        <v>109.8788</v>
      </c>
      <c r="N130" s="17">
        <f t="shared" si="9"/>
        <v>11.792000000000002</v>
      </c>
    </row>
    <row r="131" spans="1:15" ht="27.75" customHeight="1">
      <c r="A131" s="27" t="s">
        <v>42</v>
      </c>
      <c r="B131" s="27"/>
      <c r="C131" s="8"/>
      <c r="D131" s="8"/>
      <c r="E131" s="8"/>
      <c r="F131" s="8"/>
      <c r="G131" s="15">
        <f>G118+G130</f>
        <v>1452.4956999999999</v>
      </c>
      <c r="H131" s="8"/>
      <c r="I131" s="8"/>
      <c r="J131" s="8"/>
      <c r="K131" s="8"/>
      <c r="L131" s="8"/>
      <c r="M131" s="8"/>
      <c r="N131" s="8"/>
    </row>
    <row r="132" spans="1:15" hidden="1"/>
    <row r="133" spans="1:15" hidden="1"/>
    <row r="134" spans="1:15">
      <c r="A134" s="20" t="s">
        <v>175</v>
      </c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</row>
    <row r="135" spans="1:15">
      <c r="A135" s="20" t="s">
        <v>170</v>
      </c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</row>
    <row r="136" spans="1:15" ht="10.5" customHeight="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</row>
    <row r="137" spans="1:15">
      <c r="A137" s="21" t="s">
        <v>1</v>
      </c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</row>
    <row r="138" spans="1:15" ht="47.25">
      <c r="A138" s="22" t="s">
        <v>2</v>
      </c>
      <c r="B138" s="22" t="s">
        <v>3</v>
      </c>
      <c r="C138" s="23" t="s">
        <v>4</v>
      </c>
      <c r="D138" s="22" t="s">
        <v>16</v>
      </c>
      <c r="E138" s="24"/>
      <c r="F138" s="24"/>
      <c r="G138" s="18" t="s">
        <v>5</v>
      </c>
      <c r="H138" s="22" t="s">
        <v>7</v>
      </c>
      <c r="I138" s="22"/>
      <c r="J138" s="22"/>
      <c r="K138" s="22" t="s">
        <v>8</v>
      </c>
      <c r="L138" s="22"/>
      <c r="M138" s="22"/>
      <c r="N138" s="22"/>
      <c r="O138" s="2"/>
    </row>
    <row r="139" spans="1:15">
      <c r="A139" s="22"/>
      <c r="B139" s="22"/>
      <c r="C139" s="23"/>
      <c r="D139" s="7" t="s">
        <v>17</v>
      </c>
      <c r="E139" s="7" t="s">
        <v>18</v>
      </c>
      <c r="F139" s="7" t="s">
        <v>19</v>
      </c>
      <c r="G139" s="7" t="s">
        <v>6</v>
      </c>
      <c r="H139" s="7" t="s">
        <v>9</v>
      </c>
      <c r="I139" s="7" t="s">
        <v>10</v>
      </c>
      <c r="J139" s="7" t="s">
        <v>11</v>
      </c>
      <c r="K139" s="7" t="s">
        <v>12</v>
      </c>
      <c r="L139" s="7" t="s">
        <v>13</v>
      </c>
      <c r="M139" s="7" t="s">
        <v>14</v>
      </c>
      <c r="N139" s="7" t="s">
        <v>15</v>
      </c>
    </row>
    <row r="140" spans="1:15">
      <c r="A140" s="8" t="s">
        <v>20</v>
      </c>
      <c r="B140" s="8" t="s">
        <v>24</v>
      </c>
      <c r="C140" s="9">
        <v>10</v>
      </c>
      <c r="D140" s="25">
        <v>2.2999999999999998</v>
      </c>
      <c r="E140" s="25">
        <v>2.9</v>
      </c>
      <c r="F140" s="25">
        <v>0</v>
      </c>
      <c r="G140" s="17">
        <v>108</v>
      </c>
      <c r="H140" s="25">
        <v>0.01</v>
      </c>
      <c r="I140" s="25">
        <v>0.48</v>
      </c>
      <c r="J140" s="25">
        <v>7.0000000000000007E-2</v>
      </c>
      <c r="K140" s="25">
        <v>300</v>
      </c>
      <c r="L140" s="25">
        <v>162</v>
      </c>
      <c r="M140" s="25">
        <v>15</v>
      </c>
      <c r="N140" s="25">
        <v>0.33</v>
      </c>
    </row>
    <row r="141" spans="1:15">
      <c r="A141" s="8" t="s">
        <v>109</v>
      </c>
      <c r="B141" s="8" t="s">
        <v>111</v>
      </c>
      <c r="C141" s="9" t="s">
        <v>84</v>
      </c>
      <c r="D141" s="25">
        <v>5.92</v>
      </c>
      <c r="E141" s="25">
        <v>11.59</v>
      </c>
      <c r="F141" s="25">
        <v>49.44</v>
      </c>
      <c r="G141" s="17">
        <v>326</v>
      </c>
      <c r="H141" s="25">
        <v>0.08</v>
      </c>
      <c r="I141" s="25">
        <v>1.1599999999999999</v>
      </c>
      <c r="J141" s="25">
        <v>0.6</v>
      </c>
      <c r="K141" s="25">
        <v>124.4</v>
      </c>
      <c r="L141" s="25">
        <v>164</v>
      </c>
      <c r="M141" s="25">
        <v>39.83</v>
      </c>
      <c r="N141" s="25">
        <v>0.87</v>
      </c>
    </row>
    <row r="142" spans="1:15">
      <c r="A142" s="8" t="s">
        <v>110</v>
      </c>
      <c r="B142" s="8" t="s">
        <v>112</v>
      </c>
      <c r="C142" s="9">
        <v>80</v>
      </c>
      <c r="D142" s="25">
        <f>1.5*0.8</f>
        <v>1.2000000000000002</v>
      </c>
      <c r="E142" s="25">
        <f>8.55*0.8</f>
        <v>6.8400000000000007</v>
      </c>
      <c r="F142" s="25">
        <f>9.06*0.8</f>
        <v>7.2480000000000011</v>
      </c>
      <c r="G142" s="17">
        <f>121.67*0.8</f>
        <v>97.336000000000013</v>
      </c>
      <c r="H142" s="25">
        <f>0.05*0.8</f>
        <v>4.0000000000000008E-2</v>
      </c>
      <c r="I142" s="25">
        <f>9.52*0.8</f>
        <v>7.6159999999999997</v>
      </c>
      <c r="J142" s="25">
        <v>0</v>
      </c>
      <c r="K142" s="25">
        <f>25.7*0.8</f>
        <v>20.560000000000002</v>
      </c>
      <c r="L142" s="25">
        <f>48.97*0.8</f>
        <v>39.176000000000002</v>
      </c>
      <c r="M142" s="25">
        <f>19.18*0.8</f>
        <v>15.344000000000001</v>
      </c>
      <c r="N142" s="25">
        <f>0.65*0.8</f>
        <v>0.52</v>
      </c>
    </row>
    <row r="143" spans="1:15">
      <c r="A143" s="8" t="s">
        <v>23</v>
      </c>
      <c r="B143" s="8" t="s">
        <v>27</v>
      </c>
      <c r="C143" s="9">
        <v>200</v>
      </c>
      <c r="D143" s="25">
        <v>0</v>
      </c>
      <c r="E143" s="25">
        <v>0</v>
      </c>
      <c r="F143" s="25">
        <v>9.98</v>
      </c>
      <c r="G143" s="17">
        <v>119</v>
      </c>
      <c r="H143" s="25">
        <v>0</v>
      </c>
      <c r="I143" s="25">
        <v>0</v>
      </c>
      <c r="J143" s="25">
        <v>0</v>
      </c>
      <c r="K143" s="25">
        <v>0.2</v>
      </c>
      <c r="L143" s="25">
        <v>0</v>
      </c>
      <c r="M143" s="25">
        <v>0</v>
      </c>
      <c r="N143" s="25">
        <v>0.03</v>
      </c>
    </row>
    <row r="144" spans="1:15">
      <c r="A144" s="8"/>
      <c r="B144" s="8" t="s">
        <v>28</v>
      </c>
      <c r="C144" s="9">
        <f>50*0.75</f>
        <v>37.5</v>
      </c>
      <c r="D144" s="25">
        <f>7.15*0.75</f>
        <v>5.3625000000000007</v>
      </c>
      <c r="E144" s="25">
        <f>4.075*0.75</f>
        <v>3.0562500000000004</v>
      </c>
      <c r="F144" s="25">
        <f>18.2*0.75</f>
        <v>13.649999999999999</v>
      </c>
      <c r="G144" s="17">
        <f>84.45*0.75</f>
        <v>63.337500000000006</v>
      </c>
      <c r="H144" s="25">
        <f>0.035*0.75</f>
        <v>2.6250000000000002E-2</v>
      </c>
      <c r="I144" s="25">
        <f>3.56*0.75</f>
        <v>2.67</v>
      </c>
      <c r="J144" s="25">
        <v>0</v>
      </c>
      <c r="K144" s="25">
        <f>11.76*0.75</f>
        <v>8.82</v>
      </c>
      <c r="L144" s="25">
        <f>35.6*0.75</f>
        <v>26.700000000000003</v>
      </c>
      <c r="M144" s="25">
        <f>3.9*0.75</f>
        <v>2.9249999999999998</v>
      </c>
      <c r="N144" s="25">
        <f>0.16*0.75</f>
        <v>0.12</v>
      </c>
    </row>
    <row r="145" spans="1:14" s="16" customFormat="1">
      <c r="A145" s="15" t="s">
        <v>30</v>
      </c>
      <c r="B145" s="15"/>
      <c r="C145" s="7"/>
      <c r="D145" s="17">
        <f t="shared" ref="D145:N145" si="10">SUM(D140:D144)</f>
        <v>14.782499999999999</v>
      </c>
      <c r="E145" s="17">
        <f t="shared" si="10"/>
        <v>24.386250000000004</v>
      </c>
      <c r="F145" s="17">
        <f t="shared" si="10"/>
        <v>80.318000000000012</v>
      </c>
      <c r="G145" s="17">
        <f t="shared" si="10"/>
        <v>713.67349999999999</v>
      </c>
      <c r="H145" s="17">
        <f t="shared" si="10"/>
        <v>0.15625</v>
      </c>
      <c r="I145" s="17">
        <f t="shared" si="10"/>
        <v>11.926</v>
      </c>
      <c r="J145" s="17">
        <f t="shared" si="10"/>
        <v>0.66999999999999993</v>
      </c>
      <c r="K145" s="17">
        <f t="shared" si="10"/>
        <v>453.97999999999996</v>
      </c>
      <c r="L145" s="17">
        <f t="shared" si="10"/>
        <v>391.87599999999998</v>
      </c>
      <c r="M145" s="17">
        <f t="shared" si="10"/>
        <v>73.099000000000004</v>
      </c>
      <c r="N145" s="17">
        <f t="shared" si="10"/>
        <v>1.87</v>
      </c>
    </row>
    <row r="146" spans="1:14">
      <c r="A146" s="3"/>
      <c r="B146" s="3"/>
      <c r="C146" s="3"/>
      <c r="D146" s="3"/>
      <c r="E146" s="3"/>
      <c r="F146" s="3"/>
      <c r="G146" s="4"/>
      <c r="H146" s="3"/>
      <c r="I146" s="3"/>
      <c r="J146" s="3"/>
      <c r="K146" s="3"/>
      <c r="L146" s="3"/>
      <c r="M146" s="3"/>
      <c r="N146" s="3"/>
    </row>
    <row r="147" spans="1:14">
      <c r="A147" s="26" t="s">
        <v>31</v>
      </c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</row>
    <row r="148" spans="1:14" ht="47.25">
      <c r="A148" s="22" t="s">
        <v>2</v>
      </c>
      <c r="B148" s="22" t="s">
        <v>3</v>
      </c>
      <c r="C148" s="23" t="s">
        <v>4</v>
      </c>
      <c r="D148" s="22" t="s">
        <v>16</v>
      </c>
      <c r="E148" s="24"/>
      <c r="F148" s="24"/>
      <c r="G148" s="18" t="s">
        <v>5</v>
      </c>
      <c r="H148" s="22" t="s">
        <v>7</v>
      </c>
      <c r="I148" s="22"/>
      <c r="J148" s="22"/>
      <c r="K148" s="22" t="s">
        <v>8</v>
      </c>
      <c r="L148" s="22"/>
      <c r="M148" s="22"/>
      <c r="N148" s="22"/>
    </row>
    <row r="149" spans="1:14">
      <c r="A149" s="22"/>
      <c r="B149" s="22"/>
      <c r="C149" s="23"/>
      <c r="D149" s="7" t="s">
        <v>17</v>
      </c>
      <c r="E149" s="7" t="s">
        <v>18</v>
      </c>
      <c r="F149" s="7" t="s">
        <v>19</v>
      </c>
      <c r="G149" s="7" t="s">
        <v>6</v>
      </c>
      <c r="H149" s="7" t="s">
        <v>9</v>
      </c>
      <c r="I149" s="7" t="s">
        <v>10</v>
      </c>
      <c r="J149" s="7" t="s">
        <v>11</v>
      </c>
      <c r="K149" s="7" t="s">
        <v>12</v>
      </c>
      <c r="L149" s="7" t="s">
        <v>13</v>
      </c>
      <c r="M149" s="7" t="s">
        <v>14</v>
      </c>
      <c r="N149" s="7" t="s">
        <v>15</v>
      </c>
    </row>
    <row r="150" spans="1:14">
      <c r="A150" s="8" t="s">
        <v>113</v>
      </c>
      <c r="B150" s="8" t="s">
        <v>116</v>
      </c>
      <c r="C150" s="9">
        <v>80</v>
      </c>
      <c r="D150" s="25">
        <f>0.51*0.8</f>
        <v>0.40800000000000003</v>
      </c>
      <c r="E150" s="25">
        <f>3.12*0.8</f>
        <v>2.4960000000000004</v>
      </c>
      <c r="F150" s="25">
        <f>3.94*0.8</f>
        <v>3.1520000000000001</v>
      </c>
      <c r="G150" s="17">
        <f>196.67*0.8</f>
        <v>157.33600000000001</v>
      </c>
      <c r="H150" s="25">
        <f>0.03*0.8</f>
        <v>2.4E-2</v>
      </c>
      <c r="I150" s="25">
        <f>6.72*0.8</f>
        <v>5.3760000000000003</v>
      </c>
      <c r="J150" s="25">
        <v>0</v>
      </c>
      <c r="K150" s="25">
        <f>21.87*0.8</f>
        <v>17.496000000000002</v>
      </c>
      <c r="L150" s="25">
        <f>40.59*0.8</f>
        <v>32.472000000000001</v>
      </c>
      <c r="M150" s="25">
        <f>23.28*0.8</f>
        <v>18.624000000000002</v>
      </c>
      <c r="N150" s="25">
        <f>0.85*0.8</f>
        <v>0.68</v>
      </c>
    </row>
    <row r="151" spans="1:14">
      <c r="A151" s="8" t="s">
        <v>114</v>
      </c>
      <c r="B151" s="8" t="s">
        <v>117</v>
      </c>
      <c r="C151" s="9">
        <v>80</v>
      </c>
      <c r="D151" s="25">
        <f>2.42*0.8</f>
        <v>1.9359999999999999</v>
      </c>
      <c r="E151" s="25">
        <f>4.35*0.8</f>
        <v>3.48</v>
      </c>
      <c r="F151" s="25">
        <f>15.78*0.8</f>
        <v>12.624000000000001</v>
      </c>
      <c r="G151" s="17">
        <f>113*0.8</f>
        <v>90.4</v>
      </c>
      <c r="H151" s="25">
        <f>0.04*0.8</f>
        <v>3.2000000000000001E-2</v>
      </c>
      <c r="I151" s="25">
        <f>1.89*0.8</f>
        <v>1.512</v>
      </c>
      <c r="J151" s="25">
        <f>0.02*0.8</f>
        <v>1.6E-2</v>
      </c>
      <c r="K151" s="25">
        <f>13.82*0.8</f>
        <v>11.056000000000001</v>
      </c>
      <c r="L151" s="25">
        <f>30.7*0.8</f>
        <v>24.560000000000002</v>
      </c>
      <c r="M151" s="25">
        <f>8.47*0.8</f>
        <v>6.7760000000000007</v>
      </c>
      <c r="N151" s="25">
        <f>0.51*0.8</f>
        <v>0.40800000000000003</v>
      </c>
    </row>
    <row r="152" spans="1:14">
      <c r="A152" s="8" t="s">
        <v>71</v>
      </c>
      <c r="B152" s="8" t="s">
        <v>76</v>
      </c>
      <c r="C152" s="9">
        <v>180</v>
      </c>
      <c r="D152" s="25">
        <v>10.5</v>
      </c>
      <c r="E152" s="25">
        <v>7.94</v>
      </c>
      <c r="F152" s="25">
        <v>51.68</v>
      </c>
      <c r="G152" s="17">
        <v>324</v>
      </c>
      <c r="H152" s="25">
        <v>0.35</v>
      </c>
      <c r="I152" s="25">
        <v>0</v>
      </c>
      <c r="J152" s="25">
        <v>0</v>
      </c>
      <c r="K152" s="25">
        <v>20.69</v>
      </c>
      <c r="L152" s="25">
        <v>249</v>
      </c>
      <c r="M152" s="25">
        <v>162.9</v>
      </c>
      <c r="N152" s="25">
        <v>5.6</v>
      </c>
    </row>
    <row r="153" spans="1:14">
      <c r="A153" s="8" t="s">
        <v>115</v>
      </c>
      <c r="B153" s="8" t="s">
        <v>118</v>
      </c>
      <c r="C153" s="9" t="s">
        <v>119</v>
      </c>
      <c r="D153" s="25">
        <v>16.149999999999999</v>
      </c>
      <c r="E153" s="25">
        <v>7.02</v>
      </c>
      <c r="F153" s="25">
        <v>4.79</v>
      </c>
      <c r="G153" s="17">
        <v>147</v>
      </c>
      <c r="H153" s="25">
        <v>0.1</v>
      </c>
      <c r="I153" s="25">
        <v>3.12</v>
      </c>
      <c r="J153" s="25">
        <v>0.02</v>
      </c>
      <c r="K153" s="25">
        <v>16.93</v>
      </c>
      <c r="L153" s="25">
        <v>178.6</v>
      </c>
      <c r="M153" s="25">
        <v>25.65</v>
      </c>
      <c r="N153" s="25">
        <v>8.85</v>
      </c>
    </row>
    <row r="154" spans="1:14">
      <c r="A154" s="8" t="s">
        <v>35</v>
      </c>
      <c r="B154" s="3" t="s">
        <v>39</v>
      </c>
      <c r="C154" s="9">
        <v>200</v>
      </c>
      <c r="D154" s="25">
        <v>0.26</v>
      </c>
      <c r="E154" s="25">
        <v>0.05</v>
      </c>
      <c r="F154" s="25">
        <v>15.22</v>
      </c>
      <c r="G154" s="17">
        <v>59</v>
      </c>
      <c r="H154" s="25">
        <v>0</v>
      </c>
      <c r="I154" s="25">
        <v>2.9</v>
      </c>
      <c r="J154" s="25">
        <v>0</v>
      </c>
      <c r="K154" s="25">
        <v>8.0500000000000007</v>
      </c>
      <c r="L154" s="25">
        <v>9.7799999999999994</v>
      </c>
      <c r="M154" s="25">
        <v>5.24</v>
      </c>
      <c r="N154" s="25">
        <v>0.9</v>
      </c>
    </row>
    <row r="155" spans="1:14">
      <c r="A155" s="8"/>
      <c r="B155" s="8" t="s">
        <v>28</v>
      </c>
      <c r="C155" s="9">
        <f>60*0.75</f>
        <v>45</v>
      </c>
      <c r="D155" s="25">
        <f>8.58*0.75</f>
        <v>6.4350000000000005</v>
      </c>
      <c r="E155" s="25">
        <f>4.89*0.75</f>
        <v>3.6674999999999995</v>
      </c>
      <c r="F155" s="25">
        <f>21.84*0.75</f>
        <v>16.38</v>
      </c>
      <c r="G155" s="17">
        <f>101.34*0.75</f>
        <v>76.004999999999995</v>
      </c>
      <c r="H155" s="25">
        <f>0.042*0.75</f>
        <v>3.15E-2</v>
      </c>
      <c r="I155" s="25">
        <f>4.272*0.75</f>
        <v>3.2040000000000002</v>
      </c>
      <c r="J155" s="25">
        <v>0</v>
      </c>
      <c r="K155" s="25">
        <f>42.72*0.75</f>
        <v>32.04</v>
      </c>
      <c r="L155" s="25">
        <f>4.68*0.75</f>
        <v>3.51</v>
      </c>
      <c r="M155" s="25">
        <f>0.192*0.75</f>
        <v>0.14400000000000002</v>
      </c>
      <c r="N155" s="25">
        <f>0.32*0.75</f>
        <v>0.24</v>
      </c>
    </row>
    <row r="156" spans="1:14">
      <c r="A156" s="8"/>
      <c r="B156" s="8" t="s">
        <v>40</v>
      </c>
      <c r="C156" s="9">
        <v>40</v>
      </c>
      <c r="D156" s="25">
        <f>2.898*0.67</f>
        <v>1.9416600000000002</v>
      </c>
      <c r="E156" s="25">
        <f>0.504*0.67</f>
        <v>0.33768000000000004</v>
      </c>
      <c r="F156" s="25">
        <f>24.138*0.67</f>
        <v>16.172460000000001</v>
      </c>
      <c r="G156" s="17">
        <f>115.56*0.67</f>
        <v>77.425200000000004</v>
      </c>
      <c r="H156" s="25">
        <f>0.09*0.67</f>
        <v>6.0299999999999999E-2</v>
      </c>
      <c r="I156" s="25">
        <v>0</v>
      </c>
      <c r="J156" s="25">
        <v>0</v>
      </c>
      <c r="K156" s="25">
        <f>1.308*0.67</f>
        <v>0.87636000000000014</v>
      </c>
      <c r="L156" s="25">
        <f>13.38*0.67</f>
        <v>8.9646000000000008</v>
      </c>
      <c r="M156" s="25">
        <f>2.04*0.67</f>
        <v>1.3668</v>
      </c>
      <c r="N156" s="25">
        <f>3.4*0.67</f>
        <v>2.278</v>
      </c>
    </row>
    <row r="157" spans="1:14" s="16" customFormat="1">
      <c r="A157" s="15" t="s">
        <v>30</v>
      </c>
      <c r="B157" s="15"/>
      <c r="C157" s="7"/>
      <c r="D157" s="17">
        <f>SUM(D150:D156)</f>
        <v>37.630659999999999</v>
      </c>
      <c r="E157" s="17">
        <f t="shared" ref="E157:N157" si="11">SUM(E150:E156)</f>
        <v>24.99118</v>
      </c>
      <c r="F157" s="17">
        <f t="shared" si="11"/>
        <v>120.01846</v>
      </c>
      <c r="G157" s="17">
        <f t="shared" si="11"/>
        <v>931.1662</v>
      </c>
      <c r="H157" s="17">
        <f t="shared" si="11"/>
        <v>0.5978</v>
      </c>
      <c r="I157" s="17">
        <f t="shared" si="11"/>
        <v>16.111999999999998</v>
      </c>
      <c r="J157" s="17">
        <f t="shared" si="11"/>
        <v>3.6000000000000004E-2</v>
      </c>
      <c r="K157" s="17">
        <f t="shared" si="11"/>
        <v>107.13836000000001</v>
      </c>
      <c r="L157" s="17">
        <f t="shared" si="11"/>
        <v>506.88659999999993</v>
      </c>
      <c r="M157" s="17">
        <f t="shared" si="11"/>
        <v>220.70080000000004</v>
      </c>
      <c r="N157" s="17">
        <f t="shared" si="11"/>
        <v>18.955999999999996</v>
      </c>
    </row>
    <row r="158" spans="1:14">
      <c r="A158" s="27" t="s">
        <v>42</v>
      </c>
      <c r="B158" s="27"/>
      <c r="C158" s="8"/>
      <c r="D158" s="8"/>
      <c r="E158" s="8"/>
      <c r="F158" s="8"/>
      <c r="G158" s="15">
        <f>G145+G157</f>
        <v>1644.8397</v>
      </c>
      <c r="H158" s="8"/>
      <c r="I158" s="8"/>
      <c r="J158" s="8"/>
      <c r="K158" s="8"/>
      <c r="L158" s="8"/>
      <c r="M158" s="8"/>
      <c r="N158" s="8"/>
    </row>
    <row r="159" spans="1:14" hidden="1"/>
    <row r="160" spans="1:14" hidden="1"/>
    <row r="161" spans="1:15">
      <c r="A161" s="20" t="s">
        <v>175</v>
      </c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</row>
    <row r="162" spans="1:15">
      <c r="A162" s="20" t="s">
        <v>171</v>
      </c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</row>
    <row r="163" spans="1:15" ht="10.5" customHeight="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</row>
    <row r="164" spans="1:15">
      <c r="A164" s="21" t="s">
        <v>1</v>
      </c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</row>
    <row r="165" spans="1:15" ht="47.25">
      <c r="A165" s="22" t="s">
        <v>2</v>
      </c>
      <c r="B165" s="22" t="s">
        <v>3</v>
      </c>
      <c r="C165" s="23" t="s">
        <v>4</v>
      </c>
      <c r="D165" s="22" t="s">
        <v>16</v>
      </c>
      <c r="E165" s="24"/>
      <c r="F165" s="24"/>
      <c r="G165" s="18" t="s">
        <v>5</v>
      </c>
      <c r="H165" s="22" t="s">
        <v>7</v>
      </c>
      <c r="I165" s="22"/>
      <c r="J165" s="22"/>
      <c r="K165" s="22" t="s">
        <v>8</v>
      </c>
      <c r="L165" s="22"/>
      <c r="M165" s="22"/>
      <c r="N165" s="22"/>
      <c r="O165" s="2"/>
    </row>
    <row r="166" spans="1:15">
      <c r="A166" s="22"/>
      <c r="B166" s="22"/>
      <c r="C166" s="23"/>
      <c r="D166" s="7" t="s">
        <v>17</v>
      </c>
      <c r="E166" s="7" t="s">
        <v>18</v>
      </c>
      <c r="F166" s="7" t="s">
        <v>19</v>
      </c>
      <c r="G166" s="7" t="s">
        <v>6</v>
      </c>
      <c r="H166" s="7" t="s">
        <v>9</v>
      </c>
      <c r="I166" s="7" t="s">
        <v>10</v>
      </c>
      <c r="J166" s="7" t="s">
        <v>11</v>
      </c>
      <c r="K166" s="7" t="s">
        <v>12</v>
      </c>
      <c r="L166" s="7" t="s">
        <v>13</v>
      </c>
      <c r="M166" s="7" t="s">
        <v>14</v>
      </c>
      <c r="N166" s="7" t="s">
        <v>15</v>
      </c>
    </row>
    <row r="167" spans="1:15">
      <c r="A167" s="8" t="s">
        <v>121</v>
      </c>
      <c r="B167" s="13" t="s">
        <v>122</v>
      </c>
      <c r="C167" s="9" t="s">
        <v>84</v>
      </c>
      <c r="D167" s="25">
        <v>7.4</v>
      </c>
      <c r="E167" s="25">
        <v>5.88</v>
      </c>
      <c r="F167" s="25">
        <v>31.96</v>
      </c>
      <c r="G167" s="17">
        <v>284</v>
      </c>
      <c r="H167" s="25">
        <v>0.23</v>
      </c>
      <c r="I167" s="25">
        <v>1.23</v>
      </c>
      <c r="J167" s="25">
        <v>7.0000000000000007E-2</v>
      </c>
      <c r="K167" s="25">
        <v>141.24</v>
      </c>
      <c r="L167" s="25">
        <v>227.8</v>
      </c>
      <c r="M167" s="25">
        <v>68.760000000000005</v>
      </c>
      <c r="N167" s="25">
        <v>1.67</v>
      </c>
    </row>
    <row r="168" spans="1:15">
      <c r="A168" s="8" t="s">
        <v>22</v>
      </c>
      <c r="B168" s="13" t="s">
        <v>26</v>
      </c>
      <c r="C168" s="9">
        <v>80</v>
      </c>
      <c r="D168" s="25">
        <f>1.563*0.8</f>
        <v>1.2504</v>
      </c>
      <c r="E168" s="25">
        <f>5.07*0.8</f>
        <v>4.056</v>
      </c>
      <c r="F168" s="25">
        <f>9.03*0.8</f>
        <v>7.2240000000000002</v>
      </c>
      <c r="G168" s="17">
        <f>86.67*0.8</f>
        <v>69.335999999999999</v>
      </c>
      <c r="H168" s="25">
        <f>0.02*0.8</f>
        <v>1.6E-2</v>
      </c>
      <c r="I168" s="25">
        <f>38.47*0.8</f>
        <v>30.776</v>
      </c>
      <c r="J168" s="25">
        <v>0</v>
      </c>
      <c r="K168" s="25">
        <f>51.62*0.8</f>
        <v>41.295999999999999</v>
      </c>
      <c r="L168" s="25">
        <f>27.03*0.8</f>
        <v>21.624000000000002</v>
      </c>
      <c r="M168" s="25">
        <f>14.63*0.8</f>
        <v>11.704000000000001</v>
      </c>
      <c r="N168" s="25">
        <f>0.62*0.8</f>
        <v>0.496</v>
      </c>
    </row>
    <row r="169" spans="1:15">
      <c r="A169" s="8" t="s">
        <v>45</v>
      </c>
      <c r="B169" s="13" t="s">
        <v>123</v>
      </c>
      <c r="C169" s="9">
        <v>200</v>
      </c>
      <c r="D169" s="25">
        <v>1.4</v>
      </c>
      <c r="E169" s="25">
        <v>1.6</v>
      </c>
      <c r="F169" s="28">
        <v>22.31</v>
      </c>
      <c r="G169" s="17">
        <v>105</v>
      </c>
      <c r="H169" s="25">
        <v>0.02</v>
      </c>
      <c r="I169" s="25">
        <v>0.65</v>
      </c>
      <c r="J169" s="25">
        <v>0.01</v>
      </c>
      <c r="K169" s="25">
        <v>6.4</v>
      </c>
      <c r="L169" s="25">
        <v>45</v>
      </c>
      <c r="M169" s="25">
        <v>7</v>
      </c>
      <c r="N169" s="25">
        <v>0.09</v>
      </c>
    </row>
    <row r="170" spans="1:15">
      <c r="A170" s="8"/>
      <c r="B170" s="13" t="s">
        <v>28</v>
      </c>
      <c r="C170" s="9">
        <f>50*0.75</f>
        <v>37.5</v>
      </c>
      <c r="D170" s="25">
        <f>7.15*0.75</f>
        <v>5.3625000000000007</v>
      </c>
      <c r="E170" s="25">
        <f>4.075*0.75</f>
        <v>3.0562500000000004</v>
      </c>
      <c r="F170" s="25">
        <f>18.2*0.75</f>
        <v>13.649999999999999</v>
      </c>
      <c r="G170" s="17">
        <f>84.45*0.75</f>
        <v>63.337500000000006</v>
      </c>
      <c r="H170" s="25">
        <f>0.035*0.75</f>
        <v>2.6250000000000002E-2</v>
      </c>
      <c r="I170" s="25">
        <f>3.56*0.75</f>
        <v>2.67</v>
      </c>
      <c r="J170" s="25">
        <v>0</v>
      </c>
      <c r="K170" s="25">
        <f>11.76*0.75</f>
        <v>8.82</v>
      </c>
      <c r="L170" s="25">
        <f>35.6*0.75</f>
        <v>26.700000000000003</v>
      </c>
      <c r="M170" s="25">
        <f>3.9*0.75</f>
        <v>2.9249999999999998</v>
      </c>
      <c r="N170" s="25">
        <f>0.16*0.75</f>
        <v>0.12</v>
      </c>
    </row>
    <row r="171" spans="1:15" s="16" customFormat="1">
      <c r="A171" s="15" t="s">
        <v>30</v>
      </c>
      <c r="B171" s="15"/>
      <c r="C171" s="7"/>
      <c r="D171" s="17">
        <f t="shared" ref="D171:N171" si="12">SUM(D167:D170)</f>
        <v>15.412900000000002</v>
      </c>
      <c r="E171" s="17">
        <f t="shared" si="12"/>
        <v>14.59225</v>
      </c>
      <c r="F171" s="17">
        <f t="shared" si="12"/>
        <v>75.144000000000005</v>
      </c>
      <c r="G171" s="17">
        <f t="shared" si="12"/>
        <v>521.67349999999999</v>
      </c>
      <c r="H171" s="17">
        <f t="shared" si="12"/>
        <v>0.29225000000000001</v>
      </c>
      <c r="I171" s="17">
        <f t="shared" si="12"/>
        <v>35.326000000000001</v>
      </c>
      <c r="J171" s="17">
        <f t="shared" si="12"/>
        <v>0.08</v>
      </c>
      <c r="K171" s="17">
        <f t="shared" si="12"/>
        <v>197.756</v>
      </c>
      <c r="L171" s="17">
        <f t="shared" si="12"/>
        <v>321.12399999999997</v>
      </c>
      <c r="M171" s="17">
        <f t="shared" si="12"/>
        <v>90.388999999999996</v>
      </c>
      <c r="N171" s="17">
        <f t="shared" si="12"/>
        <v>2.3759999999999999</v>
      </c>
    </row>
    <row r="172" spans="1:15" ht="10.5" customHeight="1">
      <c r="A172" s="3"/>
      <c r="B172" s="3"/>
      <c r="C172" s="3"/>
      <c r="D172" s="3"/>
      <c r="E172" s="3"/>
      <c r="F172" s="3"/>
      <c r="G172" s="4"/>
      <c r="H172" s="3"/>
      <c r="I172" s="3"/>
      <c r="J172" s="3"/>
      <c r="K172" s="3"/>
      <c r="L172" s="3"/>
      <c r="M172" s="3"/>
      <c r="N172" s="3"/>
    </row>
    <row r="173" spans="1:15">
      <c r="A173" s="26" t="s">
        <v>31</v>
      </c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</row>
    <row r="174" spans="1:15" ht="47.25">
      <c r="A174" s="22" t="s">
        <v>2</v>
      </c>
      <c r="B174" s="22" t="s">
        <v>3</v>
      </c>
      <c r="C174" s="23" t="s">
        <v>4</v>
      </c>
      <c r="D174" s="22" t="s">
        <v>16</v>
      </c>
      <c r="E174" s="24"/>
      <c r="F174" s="24"/>
      <c r="G174" s="18" t="s">
        <v>5</v>
      </c>
      <c r="H174" s="22" t="s">
        <v>7</v>
      </c>
      <c r="I174" s="22"/>
      <c r="J174" s="22"/>
      <c r="K174" s="22" t="s">
        <v>8</v>
      </c>
      <c r="L174" s="22"/>
      <c r="M174" s="22"/>
      <c r="N174" s="22"/>
    </row>
    <row r="175" spans="1:15">
      <c r="A175" s="22"/>
      <c r="B175" s="22"/>
      <c r="C175" s="23"/>
      <c r="D175" s="7" t="s">
        <v>17</v>
      </c>
      <c r="E175" s="7" t="s">
        <v>18</v>
      </c>
      <c r="F175" s="7" t="s">
        <v>19</v>
      </c>
      <c r="G175" s="7" t="s">
        <v>6</v>
      </c>
      <c r="H175" s="7" t="s">
        <v>9</v>
      </c>
      <c r="I175" s="7" t="s">
        <v>10</v>
      </c>
      <c r="J175" s="7" t="s">
        <v>11</v>
      </c>
      <c r="K175" s="7" t="s">
        <v>12</v>
      </c>
      <c r="L175" s="7" t="s">
        <v>13</v>
      </c>
      <c r="M175" s="7" t="s">
        <v>14</v>
      </c>
      <c r="N175" s="7" t="s">
        <v>15</v>
      </c>
    </row>
    <row r="176" spans="1:15">
      <c r="A176" s="8" t="s">
        <v>124</v>
      </c>
      <c r="B176" s="8" t="s">
        <v>128</v>
      </c>
      <c r="C176" s="9">
        <v>80</v>
      </c>
      <c r="D176" s="25">
        <f>0.83*0.8</f>
        <v>0.66400000000000003</v>
      </c>
      <c r="E176" s="25">
        <f>0.04*0.8</f>
        <v>3.2000000000000001E-2</v>
      </c>
      <c r="F176" s="25">
        <f>9.44*0.8</f>
        <v>7.5519999999999996</v>
      </c>
      <c r="G176" s="17">
        <f>158.33*0.8</f>
        <v>126.66400000000002</v>
      </c>
      <c r="H176" s="25">
        <f>0.08*0.8</f>
        <v>6.4000000000000001E-2</v>
      </c>
      <c r="I176" s="25">
        <f>14.03*0.8</f>
        <v>11.224</v>
      </c>
      <c r="J176" s="25">
        <f>0.03*0.8</f>
        <v>2.4E-2</v>
      </c>
      <c r="K176" s="25">
        <f>31.57*0.8</f>
        <v>25.256</v>
      </c>
      <c r="L176" s="25">
        <f>74.83*0.8</f>
        <v>59.864000000000004</v>
      </c>
      <c r="M176" s="25">
        <f>23.68*0.8</f>
        <v>18.943999999999999</v>
      </c>
      <c r="N176" s="25">
        <f>1.02*0.8</f>
        <v>0.81600000000000006</v>
      </c>
    </row>
    <row r="177" spans="1:15">
      <c r="A177" s="8" t="s">
        <v>125</v>
      </c>
      <c r="B177" s="8" t="s">
        <v>129</v>
      </c>
      <c r="C177" s="9">
        <v>200</v>
      </c>
      <c r="D177" s="25">
        <f>7.42*0.8</f>
        <v>5.9359999999999999</v>
      </c>
      <c r="E177" s="25">
        <f>4.76*0.8</f>
        <v>3.8079999999999998</v>
      </c>
      <c r="F177" s="25">
        <f>20*0.8</f>
        <v>16</v>
      </c>
      <c r="G177" s="17">
        <f>156*0.8</f>
        <v>124.80000000000001</v>
      </c>
      <c r="H177" s="25">
        <f>0.17*0.8</f>
        <v>0.13600000000000001</v>
      </c>
      <c r="I177" s="25">
        <f>24.3*0.8</f>
        <v>19.440000000000001</v>
      </c>
      <c r="J177" s="25">
        <f>0.03*0.8</f>
        <v>2.4E-2</v>
      </c>
      <c r="K177" s="25">
        <f>28.59*0.8</f>
        <v>22.872</v>
      </c>
      <c r="L177" s="25">
        <f>141.6*0.8</f>
        <v>113.28</v>
      </c>
      <c r="M177" s="25">
        <f>40.3*0.8</f>
        <v>32.24</v>
      </c>
      <c r="N177" s="25">
        <f>1.37*0.8</f>
        <v>1.0960000000000001</v>
      </c>
    </row>
    <row r="178" spans="1:15">
      <c r="A178" s="8" t="s">
        <v>34</v>
      </c>
      <c r="B178" s="8" t="s">
        <v>106</v>
      </c>
      <c r="C178" s="9">
        <v>180</v>
      </c>
      <c r="D178" s="25">
        <v>3.89</v>
      </c>
      <c r="E178" s="25">
        <v>6.72</v>
      </c>
      <c r="F178" s="25">
        <v>26.46</v>
      </c>
      <c r="G178" s="17">
        <v>187.2</v>
      </c>
      <c r="H178" s="25">
        <v>0.18</v>
      </c>
      <c r="I178" s="25">
        <v>34.14</v>
      </c>
      <c r="J178" s="25">
        <v>0.04</v>
      </c>
      <c r="K178" s="25">
        <v>83.4</v>
      </c>
      <c r="L178" s="25">
        <v>116</v>
      </c>
      <c r="M178" s="25">
        <v>41.39</v>
      </c>
      <c r="N178" s="25">
        <v>1.68</v>
      </c>
    </row>
    <row r="179" spans="1:15">
      <c r="A179" s="8" t="s">
        <v>126</v>
      </c>
      <c r="B179" s="8" t="s">
        <v>130</v>
      </c>
      <c r="C179" s="9">
        <v>100</v>
      </c>
      <c r="D179" s="25">
        <v>0.01</v>
      </c>
      <c r="E179" s="25">
        <v>1.65</v>
      </c>
      <c r="F179" s="25">
        <v>0.01</v>
      </c>
      <c r="G179" s="17">
        <v>260</v>
      </c>
      <c r="H179" s="25">
        <v>0.09</v>
      </c>
      <c r="I179" s="25">
        <v>8</v>
      </c>
      <c r="J179" s="25">
        <v>0.08</v>
      </c>
      <c r="K179" s="25">
        <v>31.51</v>
      </c>
      <c r="L179" s="25">
        <v>149</v>
      </c>
      <c r="M179" s="25">
        <v>30.66</v>
      </c>
      <c r="N179" s="25">
        <v>1.69</v>
      </c>
    </row>
    <row r="180" spans="1:15">
      <c r="A180" s="8" t="s">
        <v>127</v>
      </c>
      <c r="B180" s="3" t="s">
        <v>131</v>
      </c>
      <c r="C180" s="9">
        <v>200</v>
      </c>
      <c r="D180" s="25">
        <v>0.21</v>
      </c>
      <c r="E180" s="25">
        <v>0.21</v>
      </c>
      <c r="F180" s="25">
        <v>15.27</v>
      </c>
      <c r="G180" s="17">
        <v>62</v>
      </c>
      <c r="H180" s="25">
        <v>0.01</v>
      </c>
      <c r="I180" s="25">
        <v>8.91</v>
      </c>
      <c r="J180" s="25">
        <v>0</v>
      </c>
      <c r="K180" s="25">
        <v>8.84</v>
      </c>
      <c r="L180" s="25">
        <v>5.94</v>
      </c>
      <c r="M180" s="25">
        <v>4.8899999999999997</v>
      </c>
      <c r="N180" s="25">
        <v>1.21</v>
      </c>
    </row>
    <row r="181" spans="1:15">
      <c r="A181" s="8"/>
      <c r="B181" s="8" t="s">
        <v>28</v>
      </c>
      <c r="C181" s="9">
        <f>60*0.75</f>
        <v>45</v>
      </c>
      <c r="D181" s="25">
        <f>8.58*0.75</f>
        <v>6.4350000000000005</v>
      </c>
      <c r="E181" s="25">
        <f>4.89*0.75</f>
        <v>3.6674999999999995</v>
      </c>
      <c r="F181" s="25">
        <f>21.84*0.75</f>
        <v>16.38</v>
      </c>
      <c r="G181" s="17">
        <f>101.34*0.75</f>
        <v>76.004999999999995</v>
      </c>
      <c r="H181" s="25">
        <f>0.042*0.75</f>
        <v>3.15E-2</v>
      </c>
      <c r="I181" s="25">
        <f>4.272*0.75</f>
        <v>3.2040000000000002</v>
      </c>
      <c r="J181" s="25">
        <v>0</v>
      </c>
      <c r="K181" s="25">
        <f>42.72*0.75</f>
        <v>32.04</v>
      </c>
      <c r="L181" s="25">
        <f>4.63*0.75</f>
        <v>3.4725000000000001</v>
      </c>
      <c r="M181" s="25">
        <f>0.192*0.75</f>
        <v>0.14400000000000002</v>
      </c>
      <c r="N181" s="25">
        <f>0.32*0.75</f>
        <v>0.24</v>
      </c>
    </row>
    <row r="182" spans="1:15">
      <c r="A182" s="8"/>
      <c r="B182" s="8" t="s">
        <v>40</v>
      </c>
      <c r="C182" s="9">
        <v>40</v>
      </c>
      <c r="D182" s="25">
        <f>2.898*0.67</f>
        <v>1.9416600000000002</v>
      </c>
      <c r="E182" s="25">
        <f>0.504*0.67</f>
        <v>0.33768000000000004</v>
      </c>
      <c r="F182" s="25">
        <f>24.138*0.67</f>
        <v>16.172460000000001</v>
      </c>
      <c r="G182" s="17">
        <f>115.56*0.67</f>
        <v>77.425200000000004</v>
      </c>
      <c r="H182" s="25">
        <f>0.09*0.67</f>
        <v>6.0299999999999999E-2</v>
      </c>
      <c r="I182" s="25">
        <v>0</v>
      </c>
      <c r="J182" s="25">
        <v>0</v>
      </c>
      <c r="K182" s="25">
        <f>1.308*0.67</f>
        <v>0.87636000000000014</v>
      </c>
      <c r="L182" s="25">
        <f>13.38*0.67</f>
        <v>8.9646000000000008</v>
      </c>
      <c r="M182" s="25">
        <f>2.04*0.67</f>
        <v>1.3668</v>
      </c>
      <c r="N182" s="25">
        <f>3.4*0.67</f>
        <v>2.278</v>
      </c>
    </row>
    <row r="183" spans="1:15" s="16" customFormat="1">
      <c r="A183" s="15" t="s">
        <v>30</v>
      </c>
      <c r="B183" s="15"/>
      <c r="C183" s="7"/>
      <c r="D183" s="17">
        <f>SUM(D176:D182)</f>
        <v>19.086660000000002</v>
      </c>
      <c r="E183" s="17">
        <f t="shared" ref="E183:N183" si="13">SUM(E176:E182)</f>
        <v>16.425179999999997</v>
      </c>
      <c r="F183" s="17">
        <f t="shared" si="13"/>
        <v>97.844459999999998</v>
      </c>
      <c r="G183" s="17">
        <f t="shared" si="13"/>
        <v>914.0942</v>
      </c>
      <c r="H183" s="17">
        <f t="shared" si="13"/>
        <v>0.57179999999999997</v>
      </c>
      <c r="I183" s="17">
        <f t="shared" si="13"/>
        <v>84.917999999999992</v>
      </c>
      <c r="J183" s="17">
        <f t="shared" si="13"/>
        <v>0.16799999999999998</v>
      </c>
      <c r="K183" s="17">
        <f t="shared" si="13"/>
        <v>204.79436000000001</v>
      </c>
      <c r="L183" s="17">
        <f t="shared" si="13"/>
        <v>456.52110000000005</v>
      </c>
      <c r="M183" s="17">
        <f t="shared" si="13"/>
        <v>129.63480000000001</v>
      </c>
      <c r="N183" s="17">
        <f t="shared" si="13"/>
        <v>9.01</v>
      </c>
    </row>
    <row r="184" spans="1:15" ht="19.5" customHeight="1">
      <c r="A184" s="27" t="s">
        <v>42</v>
      </c>
      <c r="B184" s="27"/>
      <c r="C184" s="8"/>
      <c r="D184" s="8"/>
      <c r="E184" s="8"/>
      <c r="F184" s="8"/>
      <c r="G184" s="15">
        <f>G171+G183</f>
        <v>1435.7676999999999</v>
      </c>
      <c r="H184" s="8"/>
      <c r="I184" s="8"/>
      <c r="J184" s="8"/>
      <c r="K184" s="8"/>
      <c r="L184" s="8"/>
      <c r="M184" s="8"/>
      <c r="N184" s="8"/>
    </row>
    <row r="185" spans="1:15" hidden="1"/>
    <row r="186" spans="1:15" hidden="1"/>
    <row r="187" spans="1:15">
      <c r="A187" s="20" t="s">
        <v>175</v>
      </c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</row>
    <row r="188" spans="1:15">
      <c r="A188" s="20" t="s">
        <v>172</v>
      </c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</row>
    <row r="189" spans="1:15" ht="10.5" customHeight="1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</row>
    <row r="190" spans="1:15">
      <c r="A190" s="21" t="s">
        <v>1</v>
      </c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</row>
    <row r="191" spans="1:15" ht="47.25">
      <c r="A191" s="22" t="s">
        <v>2</v>
      </c>
      <c r="B191" s="22" t="s">
        <v>3</v>
      </c>
      <c r="C191" s="23" t="s">
        <v>4</v>
      </c>
      <c r="D191" s="22" t="s">
        <v>16</v>
      </c>
      <c r="E191" s="24"/>
      <c r="F191" s="24"/>
      <c r="G191" s="18" t="s">
        <v>5</v>
      </c>
      <c r="H191" s="22" t="s">
        <v>7</v>
      </c>
      <c r="I191" s="22"/>
      <c r="J191" s="22"/>
      <c r="K191" s="22" t="s">
        <v>8</v>
      </c>
      <c r="L191" s="22"/>
      <c r="M191" s="22"/>
      <c r="N191" s="22"/>
      <c r="O191" s="2"/>
    </row>
    <row r="192" spans="1:15">
      <c r="A192" s="22"/>
      <c r="B192" s="22"/>
      <c r="C192" s="23"/>
      <c r="D192" s="7" t="s">
        <v>17</v>
      </c>
      <c r="E192" s="7" t="s">
        <v>18</v>
      </c>
      <c r="F192" s="7" t="s">
        <v>19</v>
      </c>
      <c r="G192" s="7" t="s">
        <v>6</v>
      </c>
      <c r="H192" s="7" t="s">
        <v>9</v>
      </c>
      <c r="I192" s="7" t="s">
        <v>10</v>
      </c>
      <c r="J192" s="7" t="s">
        <v>11</v>
      </c>
      <c r="K192" s="7" t="s">
        <v>12</v>
      </c>
      <c r="L192" s="7" t="s">
        <v>13</v>
      </c>
      <c r="M192" s="7" t="s">
        <v>14</v>
      </c>
      <c r="N192" s="7" t="s">
        <v>15</v>
      </c>
    </row>
    <row r="193" spans="1:14">
      <c r="A193" s="8" t="s">
        <v>133</v>
      </c>
      <c r="B193" s="13" t="s">
        <v>135</v>
      </c>
      <c r="C193" s="9" t="s">
        <v>68</v>
      </c>
      <c r="D193" s="25">
        <v>38.51</v>
      </c>
      <c r="E193" s="25">
        <v>29.48</v>
      </c>
      <c r="F193" s="25">
        <v>64.510000000000005</v>
      </c>
      <c r="G193" s="17">
        <v>678</v>
      </c>
      <c r="H193" s="25">
        <v>0.15</v>
      </c>
      <c r="I193" s="25">
        <v>1.55</v>
      </c>
      <c r="J193" s="25">
        <v>0.19</v>
      </c>
      <c r="K193" s="25">
        <v>508.36</v>
      </c>
      <c r="L193" s="25">
        <v>577</v>
      </c>
      <c r="M193" s="25">
        <v>70.27</v>
      </c>
      <c r="N193" s="25">
        <v>1.44</v>
      </c>
    </row>
    <row r="194" spans="1:14">
      <c r="A194" s="8" t="s">
        <v>134</v>
      </c>
      <c r="B194" s="8" t="s">
        <v>65</v>
      </c>
      <c r="C194" s="9" t="s">
        <v>41</v>
      </c>
      <c r="D194" s="25">
        <v>0.2</v>
      </c>
      <c r="E194" s="25">
        <v>0.05</v>
      </c>
      <c r="F194" s="25">
        <v>15.01</v>
      </c>
      <c r="G194" s="17">
        <v>57</v>
      </c>
      <c r="H194" s="25">
        <v>0</v>
      </c>
      <c r="I194" s="25">
        <v>0.1</v>
      </c>
      <c r="J194" s="25">
        <v>0</v>
      </c>
      <c r="K194" s="25">
        <v>5.25</v>
      </c>
      <c r="L194" s="25">
        <v>8.24</v>
      </c>
      <c r="M194" s="25">
        <v>4.4000000000000004</v>
      </c>
      <c r="N194" s="25">
        <v>0.86</v>
      </c>
    </row>
    <row r="195" spans="1:14">
      <c r="A195" s="8" t="s">
        <v>50</v>
      </c>
      <c r="B195" s="8" t="s">
        <v>55</v>
      </c>
      <c r="C195" s="9">
        <v>80</v>
      </c>
      <c r="D195" s="25">
        <f>0.92*0.8</f>
        <v>0.7360000000000001</v>
      </c>
      <c r="E195" s="25">
        <f>0.16*0.8</f>
        <v>0.128</v>
      </c>
      <c r="F195" s="25">
        <f>5.91*0.8</f>
        <v>4.7280000000000006</v>
      </c>
      <c r="G195" s="17">
        <f>29.33*0.8</f>
        <v>23.463999999999999</v>
      </c>
      <c r="H195" s="25">
        <f>0.03*0.8</f>
        <v>2.4E-2</v>
      </c>
      <c r="I195" s="25">
        <f>28.67*0.8</f>
        <v>22.936000000000003</v>
      </c>
      <c r="J195" s="25">
        <v>0</v>
      </c>
      <c r="K195" s="25">
        <f>28.67*0.8</f>
        <v>22.936000000000003</v>
      </c>
      <c r="L195" s="25">
        <f>23.39*0.8</f>
        <v>18.712</v>
      </c>
      <c r="M195" s="25">
        <f>14*0.8</f>
        <v>11.200000000000001</v>
      </c>
      <c r="N195" s="25">
        <f>1.03*0.8</f>
        <v>0.82400000000000007</v>
      </c>
    </row>
    <row r="196" spans="1:14">
      <c r="A196" s="8"/>
      <c r="B196" s="8" t="s">
        <v>28</v>
      </c>
      <c r="C196" s="9">
        <f>500*0.75</f>
        <v>375</v>
      </c>
      <c r="D196" s="25">
        <f>7.15*0.75</f>
        <v>5.3625000000000007</v>
      </c>
      <c r="E196" s="25">
        <f>4.075*0.75</f>
        <v>3.0562500000000004</v>
      </c>
      <c r="F196" s="25">
        <f>18.2*0.75</f>
        <v>13.649999999999999</v>
      </c>
      <c r="G196" s="17">
        <f>84.45*0.75</f>
        <v>63.337500000000006</v>
      </c>
      <c r="H196" s="25">
        <f>0.035*0.75</f>
        <v>2.6250000000000002E-2</v>
      </c>
      <c r="I196" s="25">
        <f>3.56*0.75</f>
        <v>2.67</v>
      </c>
      <c r="J196" s="25">
        <v>0</v>
      </c>
      <c r="K196" s="25">
        <f>11.76*0.75</f>
        <v>8.82</v>
      </c>
      <c r="L196" s="25">
        <f>35.6*0.75</f>
        <v>26.700000000000003</v>
      </c>
      <c r="M196" s="25">
        <f>3.9*0.75</f>
        <v>2.9249999999999998</v>
      </c>
      <c r="N196" s="25">
        <f>0.16*0.75</f>
        <v>0.12</v>
      </c>
    </row>
    <row r="197" spans="1:14" s="16" customFormat="1">
      <c r="A197" s="15" t="s">
        <v>30</v>
      </c>
      <c r="B197" s="15"/>
      <c r="C197" s="7"/>
      <c r="D197" s="17">
        <f t="shared" ref="D197:N197" si="14">SUM(D193:D196)</f>
        <v>44.808499999999995</v>
      </c>
      <c r="E197" s="17">
        <f t="shared" si="14"/>
        <v>32.71425</v>
      </c>
      <c r="F197" s="17">
        <f t="shared" si="14"/>
        <v>97.897999999999996</v>
      </c>
      <c r="G197" s="17">
        <f t="shared" si="14"/>
        <v>821.80149999999992</v>
      </c>
      <c r="H197" s="17">
        <f t="shared" si="14"/>
        <v>0.20024999999999998</v>
      </c>
      <c r="I197" s="17">
        <f t="shared" si="14"/>
        <v>27.256</v>
      </c>
      <c r="J197" s="17">
        <f t="shared" si="14"/>
        <v>0.19</v>
      </c>
      <c r="K197" s="17">
        <f t="shared" si="14"/>
        <v>545.3660000000001</v>
      </c>
      <c r="L197" s="17">
        <f t="shared" si="14"/>
        <v>630.65200000000004</v>
      </c>
      <c r="M197" s="17">
        <f t="shared" si="14"/>
        <v>88.795000000000002</v>
      </c>
      <c r="N197" s="17">
        <f t="shared" si="14"/>
        <v>3.2439999999999998</v>
      </c>
    </row>
    <row r="198" spans="1:14" ht="12.75" customHeight="1">
      <c r="A198" s="3"/>
      <c r="B198" s="3"/>
      <c r="C198" s="3"/>
      <c r="D198" s="3"/>
      <c r="E198" s="3"/>
      <c r="F198" s="3"/>
      <c r="G198" s="4"/>
      <c r="H198" s="3"/>
      <c r="I198" s="3"/>
      <c r="J198" s="3"/>
      <c r="K198" s="3"/>
      <c r="L198" s="3"/>
      <c r="M198" s="3"/>
      <c r="N198" s="3"/>
    </row>
    <row r="199" spans="1:14">
      <c r="A199" s="26" t="s">
        <v>31</v>
      </c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</row>
    <row r="200" spans="1:14" ht="47.25">
      <c r="A200" s="22" t="s">
        <v>2</v>
      </c>
      <c r="B200" s="22" t="s">
        <v>3</v>
      </c>
      <c r="C200" s="23" t="s">
        <v>4</v>
      </c>
      <c r="D200" s="22" t="s">
        <v>16</v>
      </c>
      <c r="E200" s="24"/>
      <c r="F200" s="24"/>
      <c r="G200" s="18" t="s">
        <v>5</v>
      </c>
      <c r="H200" s="22" t="s">
        <v>7</v>
      </c>
      <c r="I200" s="22"/>
      <c r="J200" s="22"/>
      <c r="K200" s="22" t="s">
        <v>8</v>
      </c>
      <c r="L200" s="22"/>
      <c r="M200" s="22"/>
      <c r="N200" s="22"/>
    </row>
    <row r="201" spans="1:14">
      <c r="A201" s="22"/>
      <c r="B201" s="22"/>
      <c r="C201" s="23"/>
      <c r="D201" s="7" t="s">
        <v>17</v>
      </c>
      <c r="E201" s="7" t="s">
        <v>18</v>
      </c>
      <c r="F201" s="7" t="s">
        <v>19</v>
      </c>
      <c r="G201" s="7" t="s">
        <v>6</v>
      </c>
      <c r="H201" s="7" t="s">
        <v>9</v>
      </c>
      <c r="I201" s="7" t="s">
        <v>10</v>
      </c>
      <c r="J201" s="7" t="s">
        <v>11</v>
      </c>
      <c r="K201" s="7" t="s">
        <v>12</v>
      </c>
      <c r="L201" s="7" t="s">
        <v>13</v>
      </c>
      <c r="M201" s="7" t="s">
        <v>14</v>
      </c>
      <c r="N201" s="7" t="s">
        <v>15</v>
      </c>
    </row>
    <row r="202" spans="1:14">
      <c r="A202" s="8" t="s">
        <v>136</v>
      </c>
      <c r="B202" s="8" t="s">
        <v>139</v>
      </c>
      <c r="C202" s="9">
        <v>80</v>
      </c>
      <c r="D202" s="25">
        <f>0.67*0.8</f>
        <v>0.53600000000000003</v>
      </c>
      <c r="E202" s="25">
        <f>0.1*0.8</f>
        <v>8.0000000000000016E-2</v>
      </c>
      <c r="F202" s="25">
        <f>9.03*0.8</f>
        <v>7.2240000000000002</v>
      </c>
      <c r="G202" s="17">
        <f>120*0.8</f>
        <v>96</v>
      </c>
      <c r="H202" s="25">
        <f>0.03*0.8</f>
        <v>2.4E-2</v>
      </c>
      <c r="I202" s="25">
        <f>7.32*0.8</f>
        <v>5.8560000000000008</v>
      </c>
      <c r="J202" s="25">
        <v>0</v>
      </c>
      <c r="K202" s="25">
        <f>31.62*0.8</f>
        <v>25.296000000000003</v>
      </c>
      <c r="L202" s="25">
        <f>31.98*0.8</f>
        <v>25.584000000000003</v>
      </c>
      <c r="M202" s="25">
        <f>15.38*0.8</f>
        <v>12.304000000000002</v>
      </c>
      <c r="N202" s="25">
        <f>0.77*0.8</f>
        <v>0.6160000000000001</v>
      </c>
    </row>
    <row r="203" spans="1:14">
      <c r="A203" s="8" t="s">
        <v>137</v>
      </c>
      <c r="B203" s="8" t="s">
        <v>140</v>
      </c>
      <c r="C203" s="9">
        <v>200</v>
      </c>
      <c r="D203" s="25">
        <f>2.05*0.8</f>
        <v>1.64</v>
      </c>
      <c r="E203" s="25">
        <f>5.43*0.8</f>
        <v>4.3440000000000003</v>
      </c>
      <c r="F203" s="25">
        <f>10.64*0.8</f>
        <v>8.5120000000000005</v>
      </c>
      <c r="G203" s="17">
        <f>101*0.8</f>
        <v>80.800000000000011</v>
      </c>
      <c r="H203" s="25">
        <f>0.07*0.8</f>
        <v>5.6000000000000008E-2</v>
      </c>
      <c r="I203" s="25">
        <f>20.01*0.8</f>
        <v>16.008000000000003</v>
      </c>
      <c r="J203" s="25">
        <f>0.03*0.8</f>
        <v>2.4E-2</v>
      </c>
      <c r="K203" s="25">
        <f>32.27*0.8</f>
        <v>25.816000000000003</v>
      </c>
      <c r="L203" s="25">
        <f>57.7*0.8</f>
        <v>46.160000000000004</v>
      </c>
      <c r="M203" s="25">
        <f>20.37*0.8</f>
        <v>16.296000000000003</v>
      </c>
      <c r="N203" s="25">
        <f>0.71*0.8</f>
        <v>0.56799999999999995</v>
      </c>
    </row>
    <row r="204" spans="1:14">
      <c r="A204" s="8" t="s">
        <v>138</v>
      </c>
      <c r="B204" s="8" t="s">
        <v>141</v>
      </c>
      <c r="C204" s="9">
        <v>180</v>
      </c>
      <c r="D204" s="25">
        <v>22.79</v>
      </c>
      <c r="E204" s="25">
        <v>8.6199999999999992</v>
      </c>
      <c r="F204" s="25">
        <v>36.96</v>
      </c>
      <c r="G204" s="17">
        <v>320.39999999999998</v>
      </c>
      <c r="H204" s="25">
        <v>0.14000000000000001</v>
      </c>
      <c r="I204" s="25">
        <v>2.4700000000000002</v>
      </c>
      <c r="J204" s="25">
        <v>0.04</v>
      </c>
      <c r="K204" s="25">
        <v>26.06</v>
      </c>
      <c r="L204" s="25">
        <v>283.10000000000002</v>
      </c>
      <c r="M204" s="25">
        <v>55.92</v>
      </c>
      <c r="N204" s="25">
        <v>2.72</v>
      </c>
    </row>
    <row r="205" spans="1:14">
      <c r="A205" s="8" t="s">
        <v>177</v>
      </c>
      <c r="B205" s="8" t="s">
        <v>178</v>
      </c>
      <c r="C205" s="9">
        <v>200</v>
      </c>
      <c r="D205" s="25">
        <v>5.6</v>
      </c>
      <c r="E205" s="25">
        <v>6.4</v>
      </c>
      <c r="F205" s="25">
        <v>15.18</v>
      </c>
      <c r="G205" s="17">
        <v>145</v>
      </c>
      <c r="H205" s="25">
        <v>0.06</v>
      </c>
      <c r="I205" s="25">
        <v>1.4</v>
      </c>
      <c r="J205" s="25">
        <v>0.04</v>
      </c>
      <c r="K205" s="25">
        <v>240.14</v>
      </c>
      <c r="L205" s="25">
        <v>190</v>
      </c>
      <c r="M205" s="25">
        <v>28</v>
      </c>
      <c r="N205" s="25">
        <v>0.22</v>
      </c>
    </row>
    <row r="206" spans="1:14">
      <c r="A206" s="8"/>
      <c r="B206" s="8" t="s">
        <v>28</v>
      </c>
      <c r="C206" s="9">
        <f>60*0.75</f>
        <v>45</v>
      </c>
      <c r="D206" s="25">
        <f>8.58*0.75</f>
        <v>6.4350000000000005</v>
      </c>
      <c r="E206" s="25">
        <f>4.89*0.75</f>
        <v>3.6674999999999995</v>
      </c>
      <c r="F206" s="25">
        <f>21.84*0.75</f>
        <v>16.38</v>
      </c>
      <c r="G206" s="17">
        <f>101.34*0.75</f>
        <v>76.004999999999995</v>
      </c>
      <c r="H206" s="25">
        <f>0.042*0.75</f>
        <v>3.15E-2</v>
      </c>
      <c r="I206" s="25">
        <f>4.272*0.75</f>
        <v>3.2040000000000002</v>
      </c>
      <c r="J206" s="25">
        <v>0</v>
      </c>
      <c r="K206" s="25">
        <f>42.72*0.75</f>
        <v>32.04</v>
      </c>
      <c r="L206" s="25">
        <f>4.68*0.75</f>
        <v>3.51</v>
      </c>
      <c r="M206" s="25">
        <f>0.192*0.75</f>
        <v>0.14400000000000002</v>
      </c>
      <c r="N206" s="25">
        <f>0.32*0.75</f>
        <v>0.24</v>
      </c>
    </row>
    <row r="207" spans="1:14">
      <c r="A207" s="8"/>
      <c r="B207" s="8" t="s">
        <v>40</v>
      </c>
      <c r="C207" s="9">
        <v>40</v>
      </c>
      <c r="D207" s="25">
        <f>2.898*0.67</f>
        <v>1.9416600000000002</v>
      </c>
      <c r="E207" s="25">
        <f>0.504*0.67</f>
        <v>0.33768000000000004</v>
      </c>
      <c r="F207" s="25">
        <f>24.138*0.67</f>
        <v>16.172460000000001</v>
      </c>
      <c r="G207" s="17">
        <f>115.56*0.67</f>
        <v>77.425200000000004</v>
      </c>
      <c r="H207" s="25">
        <f>0.09*0.67</f>
        <v>6.0299999999999999E-2</v>
      </c>
      <c r="I207" s="25">
        <v>0</v>
      </c>
      <c r="J207" s="25">
        <v>0</v>
      </c>
      <c r="K207" s="25">
        <f>1.308*0.67</f>
        <v>0.87636000000000014</v>
      </c>
      <c r="L207" s="25">
        <f>13.38*0.67</f>
        <v>8.9646000000000008</v>
      </c>
      <c r="M207" s="25">
        <f>2.04*0.67</f>
        <v>1.3668</v>
      </c>
      <c r="N207" s="25">
        <f>3.4*0.67</f>
        <v>2.278</v>
      </c>
    </row>
    <row r="208" spans="1:14" s="16" customFormat="1">
      <c r="A208" s="15" t="s">
        <v>30</v>
      </c>
      <c r="B208" s="15"/>
      <c r="C208" s="7"/>
      <c r="D208" s="17">
        <f t="shared" ref="D208:N208" si="15">SUM(D202:D207)</f>
        <v>38.942660000000004</v>
      </c>
      <c r="E208" s="17">
        <f t="shared" si="15"/>
        <v>23.449180000000002</v>
      </c>
      <c r="F208" s="17">
        <f t="shared" si="15"/>
        <v>100.42846</v>
      </c>
      <c r="G208" s="17">
        <f t="shared" si="15"/>
        <v>795.63020000000006</v>
      </c>
      <c r="H208" s="17">
        <f t="shared" si="15"/>
        <v>0.37180000000000002</v>
      </c>
      <c r="I208" s="17">
        <f t="shared" si="15"/>
        <v>28.938000000000002</v>
      </c>
      <c r="J208" s="17">
        <f t="shared" si="15"/>
        <v>0.10400000000000001</v>
      </c>
      <c r="K208" s="17">
        <f t="shared" si="15"/>
        <v>350.22836000000001</v>
      </c>
      <c r="L208" s="17">
        <f t="shared" si="15"/>
        <v>557.31860000000006</v>
      </c>
      <c r="M208" s="17">
        <f t="shared" si="15"/>
        <v>114.03080000000001</v>
      </c>
      <c r="N208" s="17">
        <f t="shared" si="15"/>
        <v>6.6420000000000012</v>
      </c>
    </row>
    <row r="209" spans="1:15">
      <c r="A209" s="27" t="s">
        <v>42</v>
      </c>
      <c r="B209" s="27"/>
      <c r="C209" s="8"/>
      <c r="D209" s="8"/>
      <c r="E209" s="8"/>
      <c r="F209" s="8"/>
      <c r="G209" s="15">
        <f>G197+G208</f>
        <v>1617.4317000000001</v>
      </c>
      <c r="H209" s="8"/>
      <c r="I209" s="8"/>
      <c r="J209" s="8"/>
      <c r="K209" s="8"/>
      <c r="L209" s="8"/>
      <c r="M209" s="8"/>
      <c r="N209" s="8"/>
    </row>
    <row r="210" spans="1:15" hidden="1"/>
    <row r="211" spans="1:15" ht="8.25" customHeight="1"/>
    <row r="212" spans="1:15">
      <c r="A212" s="20" t="s">
        <v>175</v>
      </c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</row>
    <row r="213" spans="1:15">
      <c r="A213" s="20" t="s">
        <v>173</v>
      </c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</row>
    <row r="214" spans="1:15" ht="10.5" customHeight="1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</row>
    <row r="215" spans="1:15">
      <c r="A215" s="21" t="s">
        <v>1</v>
      </c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</row>
    <row r="216" spans="1:15" ht="47.25">
      <c r="A216" s="22" t="s">
        <v>2</v>
      </c>
      <c r="B216" s="22" t="s">
        <v>3</v>
      </c>
      <c r="C216" s="23" t="s">
        <v>4</v>
      </c>
      <c r="D216" s="22" t="s">
        <v>16</v>
      </c>
      <c r="E216" s="24"/>
      <c r="F216" s="24"/>
      <c r="G216" s="18" t="s">
        <v>5</v>
      </c>
      <c r="H216" s="22" t="s">
        <v>7</v>
      </c>
      <c r="I216" s="22"/>
      <c r="J216" s="22"/>
      <c r="K216" s="22" t="s">
        <v>8</v>
      </c>
      <c r="L216" s="22"/>
      <c r="M216" s="22"/>
      <c r="N216" s="22"/>
      <c r="O216" s="2"/>
    </row>
    <row r="217" spans="1:15">
      <c r="A217" s="22"/>
      <c r="B217" s="22"/>
      <c r="C217" s="23"/>
      <c r="D217" s="7" t="s">
        <v>17</v>
      </c>
      <c r="E217" s="7" t="s">
        <v>18</v>
      </c>
      <c r="F217" s="7" t="s">
        <v>19</v>
      </c>
      <c r="G217" s="7" t="s">
        <v>6</v>
      </c>
      <c r="H217" s="7" t="s">
        <v>9</v>
      </c>
      <c r="I217" s="7" t="s">
        <v>10</v>
      </c>
      <c r="J217" s="7" t="s">
        <v>11</v>
      </c>
      <c r="K217" s="7" t="s">
        <v>12</v>
      </c>
      <c r="L217" s="7" t="s">
        <v>13</v>
      </c>
      <c r="M217" s="7" t="s">
        <v>14</v>
      </c>
      <c r="N217" s="7" t="s">
        <v>15</v>
      </c>
    </row>
    <row r="218" spans="1:15">
      <c r="A218" s="8" t="s">
        <v>20</v>
      </c>
      <c r="B218" s="8" t="s">
        <v>24</v>
      </c>
      <c r="C218" s="9">
        <v>30</v>
      </c>
      <c r="D218" s="25">
        <v>6.9</v>
      </c>
      <c r="E218" s="25">
        <v>8.6999999999999993</v>
      </c>
      <c r="F218" s="25">
        <v>0</v>
      </c>
      <c r="G218" s="17">
        <v>108</v>
      </c>
      <c r="H218" s="25">
        <v>0.01</v>
      </c>
      <c r="I218" s="25">
        <v>0.48</v>
      </c>
      <c r="J218" s="25">
        <v>7.0000000000000007E-2</v>
      </c>
      <c r="K218" s="25">
        <v>300</v>
      </c>
      <c r="L218" s="25">
        <v>162</v>
      </c>
      <c r="M218" s="25">
        <v>15</v>
      </c>
      <c r="N218" s="25">
        <v>0.33</v>
      </c>
    </row>
    <row r="219" spans="1:15">
      <c r="A219" s="8" t="s">
        <v>109</v>
      </c>
      <c r="B219" s="8" t="s">
        <v>111</v>
      </c>
      <c r="C219" s="9" t="s">
        <v>84</v>
      </c>
      <c r="D219" s="25">
        <v>5.92</v>
      </c>
      <c r="E219" s="25">
        <v>11.59</v>
      </c>
      <c r="F219" s="25">
        <v>49.44</v>
      </c>
      <c r="G219" s="17">
        <v>326</v>
      </c>
      <c r="H219" s="25">
        <v>0.08</v>
      </c>
      <c r="I219" s="25">
        <v>1.1599999999999999</v>
      </c>
      <c r="J219" s="25">
        <v>0.6</v>
      </c>
      <c r="K219" s="25">
        <v>124.4</v>
      </c>
      <c r="L219" s="25">
        <v>164</v>
      </c>
      <c r="M219" s="25">
        <v>39.83</v>
      </c>
      <c r="N219" s="25">
        <v>0.87</v>
      </c>
    </row>
    <row r="220" spans="1:15">
      <c r="A220" s="8" t="s">
        <v>143</v>
      </c>
      <c r="B220" s="8" t="s">
        <v>144</v>
      </c>
      <c r="C220" s="9">
        <v>200</v>
      </c>
      <c r="D220" s="25">
        <v>1.3</v>
      </c>
      <c r="E220" s="25">
        <v>0</v>
      </c>
      <c r="F220" s="25">
        <v>23.73</v>
      </c>
      <c r="G220" s="17">
        <v>96</v>
      </c>
      <c r="H220" s="25">
        <v>0.02</v>
      </c>
      <c r="I220" s="25">
        <v>1</v>
      </c>
      <c r="J220" s="25">
        <v>0</v>
      </c>
      <c r="K220" s="25">
        <v>40.200000000000003</v>
      </c>
      <c r="L220" s="25">
        <v>36.5</v>
      </c>
      <c r="M220" s="25">
        <v>26.25</v>
      </c>
      <c r="N220" s="25">
        <v>0.83</v>
      </c>
    </row>
    <row r="221" spans="1:15">
      <c r="A221" s="8" t="s">
        <v>124</v>
      </c>
      <c r="B221" s="8" t="s">
        <v>145</v>
      </c>
      <c r="C221" s="9">
        <v>80</v>
      </c>
      <c r="D221" s="25">
        <f>3.55*0.8</f>
        <v>2.84</v>
      </c>
      <c r="E221" s="25">
        <f>11.92*0.8</f>
        <v>9.5359999999999996</v>
      </c>
      <c r="F221" s="25">
        <f>8.98*0.8</f>
        <v>7.1840000000000011</v>
      </c>
      <c r="G221" s="17">
        <f>158.33*0.8</f>
        <v>126.66400000000002</v>
      </c>
      <c r="H221" s="25">
        <f>0.08*0.8</f>
        <v>6.4000000000000001E-2</v>
      </c>
      <c r="I221" s="25">
        <f>14.03*0.8</f>
        <v>11.224</v>
      </c>
      <c r="J221" s="25">
        <f>0.03*0.8</f>
        <v>2.4E-2</v>
      </c>
      <c r="K221" s="25">
        <f>31.57*0.8</f>
        <v>25.256</v>
      </c>
      <c r="L221" s="25">
        <f>74.83*0.8</f>
        <v>59.864000000000004</v>
      </c>
      <c r="M221" s="25">
        <f>23.68*0.8</f>
        <v>18.943999999999999</v>
      </c>
      <c r="N221" s="25">
        <f>1.02*0.8</f>
        <v>0.81600000000000006</v>
      </c>
    </row>
    <row r="222" spans="1:15">
      <c r="A222" s="8"/>
      <c r="B222" s="8" t="s">
        <v>28</v>
      </c>
      <c r="C222" s="9">
        <f>50*0.75</f>
        <v>37.5</v>
      </c>
      <c r="D222" s="25">
        <f>7.15*0.75</f>
        <v>5.3625000000000007</v>
      </c>
      <c r="E222" s="25">
        <f>4.075*0.75</f>
        <v>3.0562500000000004</v>
      </c>
      <c r="F222" s="25">
        <f>18.2*0.75</f>
        <v>13.649999999999999</v>
      </c>
      <c r="G222" s="17">
        <f>84.45*0.75</f>
        <v>63.337500000000006</v>
      </c>
      <c r="H222" s="25">
        <f>0.035*0.75</f>
        <v>2.6250000000000002E-2</v>
      </c>
      <c r="I222" s="25">
        <f>3.56*0.75</f>
        <v>2.67</v>
      </c>
      <c r="J222" s="25">
        <v>0</v>
      </c>
      <c r="K222" s="25">
        <f>11.76*0.75</f>
        <v>8.82</v>
      </c>
      <c r="L222" s="25">
        <f>35.6*0.75</f>
        <v>26.700000000000003</v>
      </c>
      <c r="M222" s="25">
        <f>3.9*0.75</f>
        <v>2.9249999999999998</v>
      </c>
      <c r="N222" s="25">
        <f>0.16*0.75</f>
        <v>0.12</v>
      </c>
    </row>
    <row r="223" spans="1:15" s="16" customFormat="1">
      <c r="A223" s="15" t="s">
        <v>30</v>
      </c>
      <c r="B223" s="15"/>
      <c r="C223" s="7"/>
      <c r="D223" s="17">
        <f t="shared" ref="D223:N223" si="16">SUM(D218:D222)</f>
        <v>22.322500000000002</v>
      </c>
      <c r="E223" s="17">
        <f t="shared" si="16"/>
        <v>32.882249999999999</v>
      </c>
      <c r="F223" s="17">
        <f t="shared" si="16"/>
        <v>94.003999999999991</v>
      </c>
      <c r="G223" s="17">
        <f t="shared" si="16"/>
        <v>720.00149999999996</v>
      </c>
      <c r="H223" s="17">
        <f t="shared" si="16"/>
        <v>0.20024999999999998</v>
      </c>
      <c r="I223" s="17">
        <f t="shared" si="16"/>
        <v>16.533999999999999</v>
      </c>
      <c r="J223" s="17">
        <f t="shared" si="16"/>
        <v>0.69399999999999995</v>
      </c>
      <c r="K223" s="17">
        <f t="shared" si="16"/>
        <v>498.67599999999999</v>
      </c>
      <c r="L223" s="17">
        <f t="shared" si="16"/>
        <v>449.06400000000002</v>
      </c>
      <c r="M223" s="17">
        <f t="shared" si="16"/>
        <v>102.949</v>
      </c>
      <c r="N223" s="17">
        <f t="shared" si="16"/>
        <v>2.9660000000000002</v>
      </c>
    </row>
    <row r="224" spans="1:15" ht="12" customHeight="1">
      <c r="A224" s="3"/>
      <c r="B224" s="3"/>
      <c r="C224" s="3"/>
      <c r="D224" s="3"/>
      <c r="E224" s="3"/>
      <c r="F224" s="3"/>
      <c r="G224" s="4"/>
      <c r="H224" s="3"/>
      <c r="I224" s="3"/>
      <c r="J224" s="3"/>
      <c r="K224" s="3"/>
      <c r="L224" s="3"/>
      <c r="M224" s="3"/>
      <c r="N224" s="3"/>
    </row>
    <row r="225" spans="1:14">
      <c r="A225" s="26" t="s">
        <v>31</v>
      </c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</row>
    <row r="226" spans="1:14" ht="47.25">
      <c r="A226" s="22" t="s">
        <v>2</v>
      </c>
      <c r="B226" s="22" t="s">
        <v>3</v>
      </c>
      <c r="C226" s="23" t="s">
        <v>4</v>
      </c>
      <c r="D226" s="22" t="s">
        <v>16</v>
      </c>
      <c r="E226" s="24"/>
      <c r="F226" s="24"/>
      <c r="G226" s="18" t="s">
        <v>5</v>
      </c>
      <c r="H226" s="22" t="s">
        <v>7</v>
      </c>
      <c r="I226" s="22"/>
      <c r="J226" s="22"/>
      <c r="K226" s="22" t="s">
        <v>8</v>
      </c>
      <c r="L226" s="22"/>
      <c r="M226" s="22"/>
      <c r="N226" s="22"/>
    </row>
    <row r="227" spans="1:14">
      <c r="A227" s="22"/>
      <c r="B227" s="22"/>
      <c r="C227" s="23"/>
      <c r="D227" s="7" t="s">
        <v>17</v>
      </c>
      <c r="E227" s="7" t="s">
        <v>18</v>
      </c>
      <c r="F227" s="7" t="s">
        <v>19</v>
      </c>
      <c r="G227" s="7" t="s">
        <v>6</v>
      </c>
      <c r="H227" s="7" t="s">
        <v>9</v>
      </c>
      <c r="I227" s="7" t="s">
        <v>10</v>
      </c>
      <c r="J227" s="7" t="s">
        <v>11</v>
      </c>
      <c r="K227" s="7" t="s">
        <v>12</v>
      </c>
      <c r="L227" s="7" t="s">
        <v>13</v>
      </c>
      <c r="M227" s="7" t="s">
        <v>14</v>
      </c>
      <c r="N227" s="7" t="s">
        <v>15</v>
      </c>
    </row>
    <row r="228" spans="1:14">
      <c r="A228" s="8" t="s">
        <v>32</v>
      </c>
      <c r="B228" s="8" t="s">
        <v>36</v>
      </c>
      <c r="C228" s="9">
        <v>80</v>
      </c>
      <c r="D228" s="25">
        <f>1.45*0.8</f>
        <v>1.1599999999999999</v>
      </c>
      <c r="E228" s="25">
        <f>18.4*0.8</f>
        <v>14.719999999999999</v>
      </c>
      <c r="F228" s="25">
        <f>6.52*0.8</f>
        <v>5.2160000000000002</v>
      </c>
      <c r="G228" s="17">
        <f>196.67*0.8</f>
        <v>157.33600000000001</v>
      </c>
      <c r="H228" s="25">
        <f>0.03*0.8</f>
        <v>2.4E-2</v>
      </c>
      <c r="I228" s="25">
        <f>6.72*0.8</f>
        <v>5.3760000000000003</v>
      </c>
      <c r="J228" s="25">
        <v>0</v>
      </c>
      <c r="K228" s="25">
        <f>21.87*0.8</f>
        <v>17.496000000000002</v>
      </c>
      <c r="L228" s="25">
        <f>40.58*0.8</f>
        <v>32.463999999999999</v>
      </c>
      <c r="M228" s="25">
        <f>23.28*0.8</f>
        <v>18.624000000000002</v>
      </c>
      <c r="N228" s="25">
        <f>0.85*0.8</f>
        <v>0.68</v>
      </c>
    </row>
    <row r="229" spans="1:14">
      <c r="A229" s="8" t="s">
        <v>146</v>
      </c>
      <c r="B229" s="8" t="s">
        <v>150</v>
      </c>
      <c r="C229" s="9">
        <v>200</v>
      </c>
      <c r="D229" s="25">
        <f>2.02*0.8</f>
        <v>1.6160000000000001</v>
      </c>
      <c r="E229" s="25">
        <f>5.37*0.8</f>
        <v>4.2960000000000003</v>
      </c>
      <c r="F229" s="25">
        <f>11.4*0.8</f>
        <v>9.120000000000001</v>
      </c>
      <c r="G229" s="17">
        <f>104*0.8</f>
        <v>83.2</v>
      </c>
      <c r="H229" s="25">
        <f>0.08*0.8</f>
        <v>6.4000000000000001E-2</v>
      </c>
      <c r="I229" s="25">
        <f>21.26*0.8</f>
        <v>17.008000000000003</v>
      </c>
      <c r="J229" s="25">
        <f>0.03*0.8</f>
        <v>2.4E-2</v>
      </c>
      <c r="K229" s="25">
        <f>30.12*0.8</f>
        <v>24.096000000000004</v>
      </c>
      <c r="L229" s="25">
        <f>55.1*0.8</f>
        <v>44.080000000000005</v>
      </c>
      <c r="M229" s="25">
        <f>21.95*0.8</f>
        <v>17.559999999999999</v>
      </c>
      <c r="N229" s="25">
        <f>0.8*0.8</f>
        <v>0.64000000000000012</v>
      </c>
    </row>
    <row r="230" spans="1:14">
      <c r="A230" s="8" t="s">
        <v>147</v>
      </c>
      <c r="B230" s="8" t="s">
        <v>151</v>
      </c>
      <c r="C230" s="9">
        <v>100</v>
      </c>
      <c r="D230" s="25">
        <v>1.83</v>
      </c>
      <c r="E230" s="25">
        <v>3.99</v>
      </c>
      <c r="F230" s="25">
        <v>10.58</v>
      </c>
      <c r="G230" s="17">
        <v>253.8</v>
      </c>
      <c r="H230" s="25">
        <v>0.14000000000000001</v>
      </c>
      <c r="I230" s="25">
        <v>0</v>
      </c>
      <c r="J230" s="25">
        <v>0.04</v>
      </c>
      <c r="K230" s="25">
        <v>41.94</v>
      </c>
      <c r="L230" s="25">
        <v>72.069999999999993</v>
      </c>
      <c r="M230" s="25">
        <v>29.51</v>
      </c>
      <c r="N230" s="25">
        <v>1.19</v>
      </c>
    </row>
    <row r="231" spans="1:14">
      <c r="A231" s="8" t="s">
        <v>148</v>
      </c>
      <c r="B231" s="8" t="s">
        <v>152</v>
      </c>
      <c r="C231" s="9">
        <v>100</v>
      </c>
      <c r="D231" s="25">
        <v>19.55</v>
      </c>
      <c r="E231" s="25">
        <v>0.73</v>
      </c>
      <c r="F231" s="25">
        <v>11.1</v>
      </c>
      <c r="G231" s="17">
        <v>86</v>
      </c>
      <c r="H231" s="25">
        <v>0.1</v>
      </c>
      <c r="I231" s="25">
        <v>1.63</v>
      </c>
      <c r="J231" s="25">
        <v>0</v>
      </c>
      <c r="K231" s="25">
        <v>35.409999999999997</v>
      </c>
      <c r="L231" s="25">
        <v>258.5</v>
      </c>
      <c r="M231" s="25">
        <v>36.880000000000003</v>
      </c>
      <c r="N231" s="25">
        <v>0.48</v>
      </c>
    </row>
    <row r="232" spans="1:14">
      <c r="A232" s="8" t="s">
        <v>54</v>
      </c>
      <c r="B232" s="3" t="s">
        <v>59</v>
      </c>
      <c r="C232" s="9">
        <v>200</v>
      </c>
      <c r="D232" s="25">
        <v>0.1</v>
      </c>
      <c r="E232" s="25">
        <v>0</v>
      </c>
      <c r="F232" s="25">
        <v>27.88</v>
      </c>
      <c r="G232" s="17">
        <v>110</v>
      </c>
      <c r="H232" s="25">
        <v>0</v>
      </c>
      <c r="I232" s="25">
        <v>3</v>
      </c>
      <c r="J232" s="25">
        <v>0</v>
      </c>
      <c r="K232" s="25">
        <v>6.8</v>
      </c>
      <c r="L232" s="25">
        <v>9.1300000000000008</v>
      </c>
      <c r="M232" s="25">
        <v>1.6</v>
      </c>
      <c r="N232" s="25">
        <v>0.18</v>
      </c>
    </row>
    <row r="233" spans="1:14">
      <c r="A233" s="8"/>
      <c r="B233" s="8" t="s">
        <v>28</v>
      </c>
      <c r="C233" s="9">
        <v>45</v>
      </c>
      <c r="D233" s="25">
        <f>8.58*0.75</f>
        <v>6.4350000000000005</v>
      </c>
      <c r="E233" s="25">
        <f>4.89*0.75</f>
        <v>3.6674999999999995</v>
      </c>
      <c r="F233" s="25">
        <f>21.84*0.75</f>
        <v>16.38</v>
      </c>
      <c r="G233" s="17">
        <f>101.34*0.75</f>
        <v>76.004999999999995</v>
      </c>
      <c r="H233" s="25">
        <f>0.042*0.75</f>
        <v>3.15E-2</v>
      </c>
      <c r="I233" s="25">
        <f>4.272*0.75</f>
        <v>3.2040000000000002</v>
      </c>
      <c r="J233" s="25">
        <v>0</v>
      </c>
      <c r="K233" s="25">
        <f>42.72*0.75</f>
        <v>32.04</v>
      </c>
      <c r="L233" s="25">
        <f>4.68*0.75</f>
        <v>3.51</v>
      </c>
      <c r="M233" s="25">
        <f>0.192*0.75</f>
        <v>0.14400000000000002</v>
      </c>
      <c r="N233" s="25">
        <f>0.32*0.75</f>
        <v>0.24</v>
      </c>
    </row>
    <row r="234" spans="1:14">
      <c r="A234" s="8"/>
      <c r="B234" s="8" t="s">
        <v>40</v>
      </c>
      <c r="C234" s="9">
        <v>40</v>
      </c>
      <c r="D234" s="25">
        <f>2.898*0.67</f>
        <v>1.9416600000000002</v>
      </c>
      <c r="E234" s="25">
        <f>0.504*0.67</f>
        <v>0.33768000000000004</v>
      </c>
      <c r="F234" s="25">
        <f>24.138*0.67</f>
        <v>16.172460000000001</v>
      </c>
      <c r="G234" s="17">
        <f>115.56*0.67</f>
        <v>77.425200000000004</v>
      </c>
      <c r="H234" s="25">
        <f>0.09*0.67</f>
        <v>6.0299999999999999E-2</v>
      </c>
      <c r="I234" s="25">
        <v>0</v>
      </c>
      <c r="J234" s="25">
        <v>0</v>
      </c>
      <c r="K234" s="25">
        <f>1.308*0.67</f>
        <v>0.87636000000000014</v>
      </c>
      <c r="L234" s="25">
        <f>13.38*0.67</f>
        <v>8.9646000000000008</v>
      </c>
      <c r="M234" s="25">
        <f>2.04*0.67</f>
        <v>1.3668</v>
      </c>
      <c r="N234" s="25">
        <f>3.4*0.67</f>
        <v>2.278</v>
      </c>
    </row>
    <row r="235" spans="1:14" s="16" customFormat="1">
      <c r="A235" s="15" t="s">
        <v>30</v>
      </c>
      <c r="B235" s="15"/>
      <c r="C235" s="7"/>
      <c r="D235" s="17">
        <f t="shared" ref="D235:N235" si="17">SUM(D228:D234)</f>
        <v>32.632660000000001</v>
      </c>
      <c r="E235" s="17">
        <f t="shared" si="17"/>
        <v>27.74118</v>
      </c>
      <c r="F235" s="17">
        <f t="shared" si="17"/>
        <v>96.448459999999997</v>
      </c>
      <c r="G235" s="17">
        <f t="shared" si="17"/>
        <v>843.76620000000003</v>
      </c>
      <c r="H235" s="17">
        <f t="shared" si="17"/>
        <v>0.41980000000000006</v>
      </c>
      <c r="I235" s="17">
        <f t="shared" si="17"/>
        <v>30.218000000000004</v>
      </c>
      <c r="J235" s="17">
        <f t="shared" si="17"/>
        <v>6.4000000000000001E-2</v>
      </c>
      <c r="K235" s="17">
        <f t="shared" si="17"/>
        <v>158.65836000000002</v>
      </c>
      <c r="L235" s="17">
        <f t="shared" si="17"/>
        <v>428.71860000000004</v>
      </c>
      <c r="M235" s="17">
        <f t="shared" si="17"/>
        <v>105.68480000000001</v>
      </c>
      <c r="N235" s="17">
        <f t="shared" si="17"/>
        <v>5.6880000000000006</v>
      </c>
    </row>
    <row r="236" spans="1:14">
      <c r="A236" s="19" t="s">
        <v>42</v>
      </c>
      <c r="B236" s="19"/>
      <c r="C236" s="10"/>
      <c r="D236" s="10"/>
      <c r="E236" s="10"/>
      <c r="F236" s="10"/>
      <c r="G236" s="11">
        <f>G223+G235</f>
        <v>1563.7676999999999</v>
      </c>
      <c r="H236" s="10"/>
      <c r="I236" s="10"/>
      <c r="J236" s="10"/>
      <c r="K236" s="10"/>
      <c r="L236" s="10"/>
      <c r="M236" s="10"/>
      <c r="N236" s="10"/>
    </row>
    <row r="237" spans="1:14" hidden="1"/>
    <row r="238" spans="1:14" hidden="1"/>
    <row r="239" spans="1:14">
      <c r="A239" s="20" t="s">
        <v>175</v>
      </c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</row>
    <row r="240" spans="1:14">
      <c r="A240" s="20" t="s">
        <v>174</v>
      </c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</row>
    <row r="241" spans="1:15" ht="10.5" customHeight="1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</row>
    <row r="242" spans="1:15">
      <c r="A242" s="21" t="s">
        <v>1</v>
      </c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</row>
    <row r="243" spans="1:15" ht="47.25">
      <c r="A243" s="22" t="s">
        <v>2</v>
      </c>
      <c r="B243" s="22" t="s">
        <v>3</v>
      </c>
      <c r="C243" s="23" t="s">
        <v>4</v>
      </c>
      <c r="D243" s="22" t="s">
        <v>16</v>
      </c>
      <c r="E243" s="24"/>
      <c r="F243" s="24"/>
      <c r="G243" s="18" t="s">
        <v>5</v>
      </c>
      <c r="H243" s="22" t="s">
        <v>7</v>
      </c>
      <c r="I243" s="22"/>
      <c r="J243" s="22"/>
      <c r="K243" s="22" t="s">
        <v>8</v>
      </c>
      <c r="L243" s="22"/>
      <c r="M243" s="22"/>
      <c r="N243" s="22"/>
      <c r="O243" s="2"/>
    </row>
    <row r="244" spans="1:15">
      <c r="A244" s="22"/>
      <c r="B244" s="22"/>
      <c r="C244" s="23"/>
      <c r="D244" s="7" t="s">
        <v>17</v>
      </c>
      <c r="E244" s="7" t="s">
        <v>18</v>
      </c>
      <c r="F244" s="7" t="s">
        <v>19</v>
      </c>
      <c r="G244" s="7" t="s">
        <v>6</v>
      </c>
      <c r="H244" s="7" t="s">
        <v>9</v>
      </c>
      <c r="I244" s="7" t="s">
        <v>10</v>
      </c>
      <c r="J244" s="7" t="s">
        <v>11</v>
      </c>
      <c r="K244" s="7" t="s">
        <v>12</v>
      </c>
      <c r="L244" s="7" t="s">
        <v>13</v>
      </c>
      <c r="M244" s="7" t="s">
        <v>14</v>
      </c>
      <c r="N244" s="7" t="s">
        <v>15</v>
      </c>
    </row>
    <row r="245" spans="1:15">
      <c r="A245" s="8" t="s">
        <v>154</v>
      </c>
      <c r="B245" s="8" t="s">
        <v>156</v>
      </c>
      <c r="C245" s="9">
        <v>200</v>
      </c>
      <c r="D245" s="25">
        <v>5.52</v>
      </c>
      <c r="E245" s="25">
        <v>9.1999999999999993</v>
      </c>
      <c r="F245" s="25">
        <v>1.02</v>
      </c>
      <c r="G245" s="17">
        <v>284</v>
      </c>
      <c r="H245" s="25">
        <v>0.23</v>
      </c>
      <c r="I245" s="25">
        <v>1.23</v>
      </c>
      <c r="J245" s="25">
        <v>7.0000000000000007E-2</v>
      </c>
      <c r="K245" s="25">
        <v>141.24</v>
      </c>
      <c r="L245" s="25">
        <v>227.8</v>
      </c>
      <c r="M245" s="25">
        <v>68.760000000000005</v>
      </c>
      <c r="N245" s="25">
        <v>1.67</v>
      </c>
    </row>
    <row r="246" spans="1:15">
      <c r="A246" s="8" t="s">
        <v>155</v>
      </c>
      <c r="B246" s="8" t="s">
        <v>157</v>
      </c>
      <c r="C246" s="9">
        <v>80</v>
      </c>
      <c r="D246" s="25">
        <f>1.61*0.8</f>
        <v>1.2880000000000003</v>
      </c>
      <c r="E246" s="25">
        <f>5.15*0.8</f>
        <v>4.12</v>
      </c>
      <c r="F246" s="25">
        <f>11.72*0.8</f>
        <v>9.3760000000000012</v>
      </c>
      <c r="G246" s="17">
        <f>98.33*0.8</f>
        <v>78.664000000000001</v>
      </c>
      <c r="H246" s="25">
        <f>0.03*0.8</f>
        <v>2.4E-2</v>
      </c>
      <c r="I246" s="25">
        <f>10.88*0.8</f>
        <v>8.7040000000000006</v>
      </c>
      <c r="J246" s="25">
        <v>0</v>
      </c>
      <c r="K246" s="25">
        <f>36.45*0.8</f>
        <v>29.160000000000004</v>
      </c>
      <c r="L246" s="25">
        <f>35.18*0.8</f>
        <v>28.144000000000002</v>
      </c>
      <c r="M246" s="25">
        <f>18.08*0.8</f>
        <v>14.463999999999999</v>
      </c>
      <c r="N246" s="25">
        <f>1.08*0.8</f>
        <v>0.8640000000000001</v>
      </c>
    </row>
    <row r="247" spans="1:15">
      <c r="A247" s="8" t="s">
        <v>88</v>
      </c>
      <c r="B247" s="8" t="s">
        <v>91</v>
      </c>
      <c r="C247" s="9">
        <v>200</v>
      </c>
      <c r="D247" s="25">
        <v>4.2</v>
      </c>
      <c r="E247" s="25">
        <v>4.8</v>
      </c>
      <c r="F247" s="25">
        <v>7.05</v>
      </c>
      <c r="G247" s="17">
        <v>87</v>
      </c>
      <c r="H247" s="25">
        <v>0.06</v>
      </c>
      <c r="I247" s="25">
        <v>1.095</v>
      </c>
      <c r="J247" s="25">
        <v>0.03</v>
      </c>
      <c r="K247" s="25">
        <v>180</v>
      </c>
      <c r="L247" s="25">
        <v>135</v>
      </c>
      <c r="M247" s="25">
        <v>21</v>
      </c>
      <c r="N247" s="25">
        <v>0.09</v>
      </c>
    </row>
    <row r="248" spans="1:15">
      <c r="A248" s="8"/>
      <c r="B248" s="8" t="s">
        <v>28</v>
      </c>
      <c r="C248" s="9">
        <v>40</v>
      </c>
      <c r="D248" s="25"/>
      <c r="E248" s="25">
        <f>4.075*0.75</f>
        <v>3.0562500000000004</v>
      </c>
      <c r="F248" s="25">
        <f>18.2*0.75</f>
        <v>13.649999999999999</v>
      </c>
      <c r="G248" s="17">
        <f>84.45*0.75</f>
        <v>63.337500000000006</v>
      </c>
      <c r="H248" s="25">
        <f>0.035*0.75</f>
        <v>2.6250000000000002E-2</v>
      </c>
      <c r="I248" s="25">
        <f>3.56*0.75</f>
        <v>2.67</v>
      </c>
      <c r="J248" s="25">
        <v>0</v>
      </c>
      <c r="K248" s="25">
        <f>11.76*0.75</f>
        <v>8.82</v>
      </c>
      <c r="L248" s="25">
        <f>35.6*0.75</f>
        <v>26.700000000000003</v>
      </c>
      <c r="M248" s="25">
        <f>3.9*0.75</f>
        <v>2.9249999999999998</v>
      </c>
      <c r="N248" s="25">
        <f>0.16*0.75</f>
        <v>0.12</v>
      </c>
    </row>
    <row r="249" spans="1:15" s="16" customFormat="1">
      <c r="A249" s="15" t="s">
        <v>30</v>
      </c>
      <c r="B249" s="15"/>
      <c r="C249" s="7"/>
      <c r="D249" s="17">
        <f t="shared" ref="D249:N249" si="18">SUM(D245:D248)</f>
        <v>11.007999999999999</v>
      </c>
      <c r="E249" s="17">
        <f t="shared" si="18"/>
        <v>21.176250000000003</v>
      </c>
      <c r="F249" s="17">
        <f t="shared" si="18"/>
        <v>31.096</v>
      </c>
      <c r="G249" s="17">
        <f t="shared" si="18"/>
        <v>513.00149999999996</v>
      </c>
      <c r="H249" s="17">
        <f t="shared" si="18"/>
        <v>0.34025</v>
      </c>
      <c r="I249" s="17">
        <f t="shared" si="18"/>
        <v>13.699000000000002</v>
      </c>
      <c r="J249" s="17">
        <f t="shared" si="18"/>
        <v>0.1</v>
      </c>
      <c r="K249" s="17">
        <f t="shared" si="18"/>
        <v>359.21999999999997</v>
      </c>
      <c r="L249" s="17">
        <f t="shared" si="18"/>
        <v>417.64400000000001</v>
      </c>
      <c r="M249" s="17">
        <f t="shared" si="18"/>
        <v>107.149</v>
      </c>
      <c r="N249" s="17">
        <f t="shared" si="18"/>
        <v>2.7439999999999998</v>
      </c>
    </row>
    <row r="250" spans="1:15" ht="10.5" customHeight="1">
      <c r="A250" s="3"/>
      <c r="B250" s="3"/>
      <c r="C250" s="3"/>
      <c r="D250" s="3"/>
      <c r="E250" s="3"/>
      <c r="F250" s="3"/>
      <c r="G250" s="4"/>
      <c r="H250" s="3"/>
      <c r="I250" s="3"/>
      <c r="J250" s="3"/>
      <c r="K250" s="3"/>
      <c r="L250" s="3"/>
      <c r="M250" s="3"/>
      <c r="N250" s="3"/>
    </row>
    <row r="251" spans="1:15">
      <c r="A251" s="26" t="s">
        <v>31</v>
      </c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</row>
    <row r="252" spans="1:15" ht="47.25">
      <c r="A252" s="22" t="s">
        <v>2</v>
      </c>
      <c r="B252" s="22" t="s">
        <v>3</v>
      </c>
      <c r="C252" s="23" t="s">
        <v>4</v>
      </c>
      <c r="D252" s="22" t="s">
        <v>16</v>
      </c>
      <c r="E252" s="24"/>
      <c r="F252" s="24"/>
      <c r="G252" s="18" t="s">
        <v>5</v>
      </c>
      <c r="H252" s="22" t="s">
        <v>7</v>
      </c>
      <c r="I252" s="22"/>
      <c r="J252" s="22"/>
      <c r="K252" s="22" t="s">
        <v>8</v>
      </c>
      <c r="L252" s="22"/>
      <c r="M252" s="22"/>
      <c r="N252" s="22"/>
    </row>
    <row r="253" spans="1:15">
      <c r="A253" s="22"/>
      <c r="B253" s="22"/>
      <c r="C253" s="23"/>
      <c r="D253" s="7" t="s">
        <v>17</v>
      </c>
      <c r="E253" s="7" t="s">
        <v>18</v>
      </c>
      <c r="F253" s="7" t="s">
        <v>19</v>
      </c>
      <c r="G253" s="7" t="s">
        <v>6</v>
      </c>
      <c r="H253" s="7" t="s">
        <v>9</v>
      </c>
      <c r="I253" s="7" t="s">
        <v>10</v>
      </c>
      <c r="J253" s="7" t="s">
        <v>11</v>
      </c>
      <c r="K253" s="7" t="s">
        <v>12</v>
      </c>
      <c r="L253" s="7" t="s">
        <v>13</v>
      </c>
      <c r="M253" s="7" t="s">
        <v>14</v>
      </c>
      <c r="N253" s="7" t="s">
        <v>15</v>
      </c>
    </row>
    <row r="254" spans="1:15">
      <c r="A254" s="8" t="s">
        <v>158</v>
      </c>
      <c r="B254" s="8" t="s">
        <v>161</v>
      </c>
      <c r="C254" s="9">
        <v>60</v>
      </c>
      <c r="D254" s="25">
        <v>1.08</v>
      </c>
      <c r="E254" s="25">
        <v>8.4700000000000006</v>
      </c>
      <c r="F254" s="25">
        <v>4.5999999999999996</v>
      </c>
      <c r="G254" s="17">
        <v>100</v>
      </c>
      <c r="H254" s="25">
        <v>0.05</v>
      </c>
      <c r="I254" s="25">
        <v>20.329999999999998</v>
      </c>
      <c r="J254" s="25">
        <v>0</v>
      </c>
      <c r="K254" s="25">
        <v>20.13</v>
      </c>
      <c r="L254" s="25">
        <v>30.67</v>
      </c>
      <c r="M254" s="25">
        <v>17.68</v>
      </c>
      <c r="N254" s="25">
        <v>0.83</v>
      </c>
    </row>
    <row r="255" spans="1:15" ht="32.25">
      <c r="A255" s="8" t="s">
        <v>159</v>
      </c>
      <c r="B255" s="13" t="s">
        <v>162</v>
      </c>
      <c r="C255" s="9">
        <v>200</v>
      </c>
      <c r="D255" s="25">
        <f>6.67*0.8</f>
        <v>5.3360000000000003</v>
      </c>
      <c r="E255" s="25">
        <f>6.99*0.8</f>
        <v>5.5920000000000005</v>
      </c>
      <c r="F255" s="25">
        <f>18.45*0.8</f>
        <v>14.76</v>
      </c>
      <c r="G255" s="17">
        <f>167*0.8</f>
        <v>133.6</v>
      </c>
      <c r="H255" s="25">
        <f>0.14*0.8</f>
        <v>0.11200000000000002</v>
      </c>
      <c r="I255" s="25">
        <f>22.35*0.8</f>
        <v>17.880000000000003</v>
      </c>
      <c r="J255" s="25">
        <f>0.03*0.8</f>
        <v>2.4E-2</v>
      </c>
      <c r="K255" s="25">
        <f>23.77*0.8</f>
        <v>19.016000000000002</v>
      </c>
      <c r="L255" s="25">
        <f>113.4*0.8</f>
        <v>90.720000000000013</v>
      </c>
      <c r="M255" s="25">
        <f>34.67*0.8</f>
        <v>27.736000000000004</v>
      </c>
      <c r="N255" s="25">
        <f>1.42*0.8</f>
        <v>1.1359999999999999</v>
      </c>
    </row>
    <row r="256" spans="1:15">
      <c r="A256" s="8" t="s">
        <v>102</v>
      </c>
      <c r="B256" s="8" t="s">
        <v>38</v>
      </c>
      <c r="C256" s="9">
        <v>180</v>
      </c>
      <c r="D256" s="25">
        <v>4.57</v>
      </c>
      <c r="E256" s="25">
        <v>7.33</v>
      </c>
      <c r="F256" s="25">
        <v>46.39</v>
      </c>
      <c r="G256" s="17">
        <v>273.60000000000002</v>
      </c>
      <c r="H256" s="25">
        <v>0.04</v>
      </c>
      <c r="I256" s="25">
        <v>0</v>
      </c>
      <c r="J256" s="25">
        <v>0.04</v>
      </c>
      <c r="K256" s="25">
        <v>39.29</v>
      </c>
      <c r="L256" s="25">
        <v>98.74</v>
      </c>
      <c r="M256" s="25">
        <v>34.4</v>
      </c>
      <c r="N256" s="25">
        <v>0.92</v>
      </c>
    </row>
    <row r="257" spans="1:14">
      <c r="A257" s="8" t="s">
        <v>160</v>
      </c>
      <c r="B257" s="8" t="s">
        <v>163</v>
      </c>
      <c r="C257" s="9">
        <v>100</v>
      </c>
      <c r="D257" s="25">
        <v>7.81</v>
      </c>
      <c r="E257" s="25">
        <v>10.49</v>
      </c>
      <c r="F257" s="25">
        <v>8.02</v>
      </c>
      <c r="G257" s="17">
        <v>234</v>
      </c>
      <c r="H257" s="25">
        <v>0.1</v>
      </c>
      <c r="I257" s="25">
        <v>27.48</v>
      </c>
      <c r="J257" s="25">
        <v>0</v>
      </c>
      <c r="K257" s="25">
        <v>16.8</v>
      </c>
      <c r="L257" s="25">
        <v>202.3</v>
      </c>
      <c r="M257" s="25">
        <v>34.729999999999997</v>
      </c>
      <c r="N257" s="25">
        <v>2.46</v>
      </c>
    </row>
    <row r="258" spans="1:14">
      <c r="A258" s="8" t="s">
        <v>149</v>
      </c>
      <c r="B258" s="3" t="s">
        <v>164</v>
      </c>
      <c r="C258" s="9">
        <v>200</v>
      </c>
      <c r="D258" s="25">
        <v>0.4</v>
      </c>
      <c r="E258" s="25">
        <v>0</v>
      </c>
      <c r="F258" s="25">
        <v>36.1</v>
      </c>
      <c r="G258" s="17">
        <v>191.2</v>
      </c>
      <c r="H258" s="25">
        <v>0</v>
      </c>
      <c r="I258" s="25">
        <v>118</v>
      </c>
      <c r="J258" s="25">
        <v>0.04</v>
      </c>
      <c r="K258" s="25">
        <v>111.4</v>
      </c>
      <c r="L258" s="25">
        <v>72.400000000000006</v>
      </c>
      <c r="M258" s="25">
        <v>3.06</v>
      </c>
      <c r="N258" s="25">
        <v>0.18</v>
      </c>
    </row>
    <row r="259" spans="1:14">
      <c r="A259" s="8"/>
      <c r="B259" s="8" t="s">
        <v>28</v>
      </c>
      <c r="C259" s="9">
        <f>60*0.75</f>
        <v>45</v>
      </c>
      <c r="D259" s="25">
        <f>8.58*0.75</f>
        <v>6.4350000000000005</v>
      </c>
      <c r="E259" s="25">
        <f>4.89*0.75</f>
        <v>3.6674999999999995</v>
      </c>
      <c r="F259" s="25">
        <f>21.84*0.75</f>
        <v>16.38</v>
      </c>
      <c r="G259" s="17">
        <f>101.34*0.75</f>
        <v>76.004999999999995</v>
      </c>
      <c r="H259" s="25">
        <f>0.042*0.75</f>
        <v>3.15E-2</v>
      </c>
      <c r="I259" s="25">
        <f>4.272*0.75</f>
        <v>3.2040000000000002</v>
      </c>
      <c r="J259" s="25">
        <v>0</v>
      </c>
      <c r="K259" s="25">
        <f>42.72*0.75</f>
        <v>32.04</v>
      </c>
      <c r="L259" s="25">
        <f>4.68*0.75</f>
        <v>3.51</v>
      </c>
      <c r="M259" s="25">
        <f>0.192*0.75</f>
        <v>0.14400000000000002</v>
      </c>
      <c r="N259" s="25">
        <f>0.32*0.75</f>
        <v>0.24</v>
      </c>
    </row>
    <row r="260" spans="1:14">
      <c r="A260" s="8"/>
      <c r="B260" s="8" t="s">
        <v>40</v>
      </c>
      <c r="C260" s="9">
        <v>40</v>
      </c>
      <c r="D260" s="25">
        <f>2.898*0.67</f>
        <v>1.9416600000000002</v>
      </c>
      <c r="E260" s="25">
        <f>0.504*0.67</f>
        <v>0.33768000000000004</v>
      </c>
      <c r="F260" s="25">
        <f>24.138*0.67</f>
        <v>16.172460000000001</v>
      </c>
      <c r="G260" s="17">
        <f>115.56*0.67</f>
        <v>77.425200000000004</v>
      </c>
      <c r="H260" s="25">
        <f>0.09*0.67</f>
        <v>6.0299999999999999E-2</v>
      </c>
      <c r="I260" s="25">
        <v>0</v>
      </c>
      <c r="J260" s="25">
        <v>0</v>
      </c>
      <c r="K260" s="25">
        <f>1.308*0.67</f>
        <v>0.87636000000000014</v>
      </c>
      <c r="L260" s="25">
        <f>13.38*0.67</f>
        <v>8.9646000000000008</v>
      </c>
      <c r="M260" s="25">
        <f>2.04*0.67</f>
        <v>1.3668</v>
      </c>
      <c r="N260" s="25">
        <f>3.4*0.67</f>
        <v>2.278</v>
      </c>
    </row>
    <row r="261" spans="1:14" s="16" customFormat="1">
      <c r="A261" s="15" t="s">
        <v>30</v>
      </c>
      <c r="B261" s="15"/>
      <c r="C261" s="7"/>
      <c r="D261" s="17">
        <f>SUM(D254:D260)</f>
        <v>27.572659999999999</v>
      </c>
      <c r="E261" s="17">
        <f t="shared" ref="E261:N261" si="19">SUM(E254:E260)</f>
        <v>35.887180000000001</v>
      </c>
      <c r="F261" s="17">
        <f t="shared" si="19"/>
        <v>142.42246</v>
      </c>
      <c r="G261" s="17">
        <f t="shared" si="19"/>
        <v>1085.8302000000001</v>
      </c>
      <c r="H261" s="17">
        <f t="shared" si="19"/>
        <v>0.39380000000000004</v>
      </c>
      <c r="I261" s="17">
        <f t="shared" si="19"/>
        <v>186.89400000000001</v>
      </c>
      <c r="J261" s="17">
        <f t="shared" si="19"/>
        <v>0.10400000000000001</v>
      </c>
      <c r="K261" s="17">
        <f t="shared" si="19"/>
        <v>239.55236000000002</v>
      </c>
      <c r="L261" s="17">
        <f t="shared" si="19"/>
        <v>507.30460000000005</v>
      </c>
      <c r="M261" s="17">
        <f t="shared" si="19"/>
        <v>119.1168</v>
      </c>
      <c r="N261" s="17">
        <f t="shared" si="19"/>
        <v>8.0440000000000005</v>
      </c>
    </row>
    <row r="262" spans="1:14">
      <c r="A262" s="27" t="s">
        <v>42</v>
      </c>
      <c r="B262" s="27"/>
      <c r="C262" s="8"/>
      <c r="D262" s="8"/>
      <c r="E262" s="8"/>
      <c r="F262" s="8"/>
      <c r="G262" s="15">
        <f>G249+G261</f>
        <v>1598.8317000000002</v>
      </c>
      <c r="H262" s="8"/>
      <c r="I262" s="8"/>
      <c r="J262" s="8"/>
      <c r="K262" s="8"/>
      <c r="L262" s="8"/>
      <c r="M262" s="8"/>
      <c r="N262" s="8"/>
    </row>
  </sheetData>
  <mergeCells count="170">
    <mergeCell ref="A262:B262"/>
    <mergeCell ref="A251:N251"/>
    <mergeCell ref="A252:A253"/>
    <mergeCell ref="B252:B253"/>
    <mergeCell ref="C252:C253"/>
    <mergeCell ref="D252:F252"/>
    <mergeCell ref="H252:J252"/>
    <mergeCell ref="K252:N252"/>
    <mergeCell ref="A236:B236"/>
    <mergeCell ref="A239:N239"/>
    <mergeCell ref="A240:N240"/>
    <mergeCell ref="A242:N242"/>
    <mergeCell ref="A243:A244"/>
    <mergeCell ref="B243:B244"/>
    <mergeCell ref="C243:C244"/>
    <mergeCell ref="D243:F243"/>
    <mergeCell ref="H243:J243"/>
    <mergeCell ref="K243:N243"/>
    <mergeCell ref="A225:N225"/>
    <mergeCell ref="A226:A227"/>
    <mergeCell ref="B226:B227"/>
    <mergeCell ref="C226:C227"/>
    <mergeCell ref="D226:F226"/>
    <mergeCell ref="H226:J226"/>
    <mergeCell ref="K226:N226"/>
    <mergeCell ref="A209:B209"/>
    <mergeCell ref="A212:N212"/>
    <mergeCell ref="A213:N213"/>
    <mergeCell ref="A215:N215"/>
    <mergeCell ref="A216:A217"/>
    <mergeCell ref="B216:B217"/>
    <mergeCell ref="C216:C217"/>
    <mergeCell ref="D216:F216"/>
    <mergeCell ref="H216:J216"/>
    <mergeCell ref="K216:N216"/>
    <mergeCell ref="A199:N199"/>
    <mergeCell ref="A200:A201"/>
    <mergeCell ref="B200:B201"/>
    <mergeCell ref="C200:C201"/>
    <mergeCell ref="D200:F200"/>
    <mergeCell ref="H200:J200"/>
    <mergeCell ref="K200:N200"/>
    <mergeCell ref="A184:B184"/>
    <mergeCell ref="A187:N187"/>
    <mergeCell ref="A188:N188"/>
    <mergeCell ref="A190:N190"/>
    <mergeCell ref="A191:A192"/>
    <mergeCell ref="B191:B192"/>
    <mergeCell ref="C191:C192"/>
    <mergeCell ref="D191:F191"/>
    <mergeCell ref="H191:J191"/>
    <mergeCell ref="K191:N191"/>
    <mergeCell ref="A173:N173"/>
    <mergeCell ref="A174:A175"/>
    <mergeCell ref="B174:B175"/>
    <mergeCell ref="C174:C175"/>
    <mergeCell ref="D174:F174"/>
    <mergeCell ref="H174:J174"/>
    <mergeCell ref="K174:N174"/>
    <mergeCell ref="A158:B158"/>
    <mergeCell ref="A161:N161"/>
    <mergeCell ref="A162:N162"/>
    <mergeCell ref="A164:N164"/>
    <mergeCell ref="A165:A166"/>
    <mergeCell ref="B165:B166"/>
    <mergeCell ref="C165:C166"/>
    <mergeCell ref="D165:F165"/>
    <mergeCell ref="H165:J165"/>
    <mergeCell ref="K165:N165"/>
    <mergeCell ref="A147:N147"/>
    <mergeCell ref="A148:A149"/>
    <mergeCell ref="B148:B149"/>
    <mergeCell ref="C148:C149"/>
    <mergeCell ref="D148:F148"/>
    <mergeCell ref="H148:J148"/>
    <mergeCell ref="K148:N148"/>
    <mergeCell ref="A131:B131"/>
    <mergeCell ref="A134:N134"/>
    <mergeCell ref="A135:N135"/>
    <mergeCell ref="A137:N137"/>
    <mergeCell ref="A138:A139"/>
    <mergeCell ref="B138:B139"/>
    <mergeCell ref="C138:C139"/>
    <mergeCell ref="D138:F138"/>
    <mergeCell ref="H138:J138"/>
    <mergeCell ref="K138:N138"/>
    <mergeCell ref="A120:N120"/>
    <mergeCell ref="A121:A122"/>
    <mergeCell ref="B121:B122"/>
    <mergeCell ref="C121:C122"/>
    <mergeCell ref="D121:F121"/>
    <mergeCell ref="H121:J121"/>
    <mergeCell ref="K121:N121"/>
    <mergeCell ref="A104:B104"/>
    <mergeCell ref="A107:N107"/>
    <mergeCell ref="A108:N108"/>
    <mergeCell ref="A110:N110"/>
    <mergeCell ref="A111:A112"/>
    <mergeCell ref="B111:B112"/>
    <mergeCell ref="C111:C112"/>
    <mergeCell ref="D111:F111"/>
    <mergeCell ref="H111:J111"/>
    <mergeCell ref="K111:N111"/>
    <mergeCell ref="A93:N93"/>
    <mergeCell ref="A94:A95"/>
    <mergeCell ref="B94:B95"/>
    <mergeCell ref="C94:C95"/>
    <mergeCell ref="D94:F94"/>
    <mergeCell ref="H94:J94"/>
    <mergeCell ref="K94:N94"/>
    <mergeCell ref="A79:B79"/>
    <mergeCell ref="A81:N81"/>
    <mergeCell ref="A82:N82"/>
    <mergeCell ref="A84:N84"/>
    <mergeCell ref="A85:A86"/>
    <mergeCell ref="B85:B86"/>
    <mergeCell ref="C85:C86"/>
    <mergeCell ref="D85:F85"/>
    <mergeCell ref="H85:J85"/>
    <mergeCell ref="K85:N85"/>
    <mergeCell ref="A68:N68"/>
    <mergeCell ref="A69:A70"/>
    <mergeCell ref="B69:B70"/>
    <mergeCell ref="C69:C70"/>
    <mergeCell ref="D69:F69"/>
    <mergeCell ref="H69:J69"/>
    <mergeCell ref="K69:N69"/>
    <mergeCell ref="A52:B52"/>
    <mergeCell ref="A55:N55"/>
    <mergeCell ref="A56:N56"/>
    <mergeCell ref="A58:N58"/>
    <mergeCell ref="A59:A60"/>
    <mergeCell ref="B59:B60"/>
    <mergeCell ref="C59:C60"/>
    <mergeCell ref="D59:F59"/>
    <mergeCell ref="H59:J59"/>
    <mergeCell ref="K59:N59"/>
    <mergeCell ref="A41:N41"/>
    <mergeCell ref="A42:A43"/>
    <mergeCell ref="B42:B43"/>
    <mergeCell ref="C42:C43"/>
    <mergeCell ref="D42:F42"/>
    <mergeCell ref="H42:J42"/>
    <mergeCell ref="K42:N42"/>
    <mergeCell ref="A26:B26"/>
    <mergeCell ref="A29:N29"/>
    <mergeCell ref="A30:N30"/>
    <mergeCell ref="A32:N32"/>
    <mergeCell ref="A33:A34"/>
    <mergeCell ref="B33:B34"/>
    <mergeCell ref="C33:C34"/>
    <mergeCell ref="D33:F33"/>
    <mergeCell ref="H33:J33"/>
    <mergeCell ref="K33:N33"/>
    <mergeCell ref="A15:N15"/>
    <mergeCell ref="A16:A17"/>
    <mergeCell ref="B16:B17"/>
    <mergeCell ref="C16:C17"/>
    <mergeCell ref="D16:F16"/>
    <mergeCell ref="H16:J16"/>
    <mergeCell ref="K16:N16"/>
    <mergeCell ref="A1:N1"/>
    <mergeCell ref="A2:N2"/>
    <mergeCell ref="A4:N4"/>
    <mergeCell ref="A5:A6"/>
    <mergeCell ref="B5:B6"/>
    <mergeCell ref="C5:C6"/>
    <mergeCell ref="D5:F5"/>
    <mergeCell ref="H5:J5"/>
    <mergeCell ref="K5:N5"/>
  </mergeCells>
  <pageMargins left="0.31496062992125984" right="0.31496062992125984" top="0.35433070866141736" bottom="0.35433070866141736" header="0.31496062992125984" footer="0.31496062992125984"/>
  <pageSetup paperSize="9" scale="85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A7FFECC8B6C00499F2D2888742C0367" ma:contentTypeVersion="1" ma:contentTypeDescription="Создание документа." ma:contentTypeScope="" ma:versionID="8149c59ca62ee10809c500a174470838">
  <xsd:schema xmlns:xsd="http://www.w3.org/2001/XMLSchema" xmlns:xs="http://www.w3.org/2001/XMLSchema" xmlns:p="http://schemas.microsoft.com/office/2006/metadata/properties" xmlns:ns2="369ecff9-9d91-49ad-b6c8-2386e6911df0" targetNamespace="http://schemas.microsoft.com/office/2006/metadata/properties" ma:root="true" ma:fieldsID="d85fbe5c3a93874a9365f7fd965c4f7b" ns2:_="">
    <xsd:import namespace="369ecff9-9d91-49ad-b6c8-2386e6911df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9ecff9-9d91-49ad-b6c8-2386e6911df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69ecff9-9d91-49ad-b6c8-2386e6911df0">SWXKEJWT4FA5-209256444-157</_dlc_DocId>
    <_dlc_DocIdUrl xmlns="369ecff9-9d91-49ad-b6c8-2386e6911df0">
      <Url>http://xn--44-6kcadhwnl3cfdx.xn--p1ai/MR/Ugor/1/_layouts/15/DocIdRedir.aspx?ID=SWXKEJWT4FA5-209256444-157</Url>
      <Description>SWXKEJWT4FA5-209256444-157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0E56AF5-382F-4B29-AABD-2BC398BC49C1}"/>
</file>

<file path=customXml/itemProps2.xml><?xml version="1.0" encoding="utf-8"?>
<ds:datastoreItem xmlns:ds="http://schemas.openxmlformats.org/officeDocument/2006/customXml" ds:itemID="{CDF81C38-A0A0-4175-8645-762542C21A53}"/>
</file>

<file path=customXml/itemProps3.xml><?xml version="1.0" encoding="utf-8"?>
<ds:datastoreItem xmlns:ds="http://schemas.openxmlformats.org/officeDocument/2006/customXml" ds:itemID="{28047FD2-761F-4C8B-8864-E5F06B239FD1}"/>
</file>

<file path=customXml/itemProps4.xml><?xml version="1.0" encoding="utf-8"?>
<ds:datastoreItem xmlns:ds="http://schemas.openxmlformats.org/officeDocument/2006/customXml" ds:itemID="{A6AAA032-2833-483E-80E8-F8778E8385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5-11 класс</vt:lpstr>
      <vt:lpstr>1-4 класс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2016-11-07T12:33:47Z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0x0101009A7FFECC8B6C00499F2D2888742C0367</vt:lpwstr>
  </property>
  <property fmtid="{D5CDD505-2E9C-101B-9397-08002B2CF9AE}" pid="3" name="_dlc_DocIdItemGuid">
    <vt:lpwstr>4faba1ea-4ec3-4c5d-8756-adfe7af7cd4f</vt:lpwstr>
  </property>
</Properties>
</file>